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omments1.xml" ContentType="application/vnd.openxmlformats-officedocument.spreadsheetml.comments+xml"/>
  <Override PartName="/xl/customProperty3.bin" ContentType="application/vnd.openxmlformats-officedocument.spreadsheetml.customProperty"/>
  <Override PartName="/xl/customProperty4.bin" ContentType="application/vnd.openxmlformats-officedocument.spreadsheetml.customProperty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ustomProperty5.bin" ContentType="application/vnd.openxmlformats-officedocument.spreadsheetml.customProperty"/>
  <Override PartName="/xl/customProperty6.bin" ContentType="application/vnd.openxmlformats-officedocument.spreadsheetml.customProperty"/>
  <Override PartName="/xl/customProperty7.bin" ContentType="application/vnd.openxmlformats-officedocument.spreadsheetml.customProperty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tables/table8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aasolutions.sharepoint.com/AA Shared Documents/AA Operations/Clients/AccessEXL/Excel Examples/"/>
    </mc:Choice>
  </mc:AlternateContent>
  <xr:revisionPtr revIDLastSave="0" documentId="8_{44D34355-9627-49EB-BB8E-2E6DF722BFF7}" xr6:coauthVersionLast="47" xr6:coauthVersionMax="47" xr10:uidLastSave="{00000000-0000-0000-0000-000000000000}"/>
  <bookViews>
    <workbookView xWindow="-120" yWindow="-120" windowWidth="29040" windowHeight="17520" tabRatio="679" firstSheet="11" activeTab="11" xr2:uid="{00000000-000D-0000-FFFF-FFFF00000000}"/>
  </bookViews>
  <sheets>
    <sheet name="ToC" sheetId="11" r:id="rId1"/>
    <sheet name="Error Checks" sheetId="10" r:id="rId2"/>
    <sheet name="Summary" sheetId="9" r:id="rId3"/>
    <sheet name="Calculations" sheetId="4" r:id="rId4"/>
    <sheet name="Assumptions" sheetId="3" r:id="rId5"/>
    <sheet name="Tables" sheetId="8" r:id="rId6"/>
    <sheet name="Format Conventions" sheetId="12" r:id="rId7"/>
    <sheet name="Structure" sheetId="13" r:id="rId8"/>
    <sheet name="Guidance" sheetId="14" r:id="rId9"/>
    <sheet name="ToDo" sheetId="15" r:id="rId10"/>
    <sheet name="Change Log" sheetId="17" r:id="rId11"/>
    <sheet name="_APIConfig" sheetId="18" r:id="rId12"/>
  </sheets>
  <externalReferences>
    <externalReference r:id="rId13"/>
  </externalReferences>
  <definedNames>
    <definedName name="AssmAccounting">Assumptions!$H$15</definedName>
    <definedName name="AssmBankFees">Assumptions!$H$17</definedName>
    <definedName name="AssmBusinessCase">Assumptions!$H$11</definedName>
    <definedName name="AssmContingency">Assumptions!$H$21</definedName>
    <definedName name="AssmCoTaxRate">Assumptions!$H$10</definedName>
    <definedName name="AssmCrInterest">Assumptions!$H$22</definedName>
    <definedName name="AssmDrInterest">Assumptions!$H$28</definedName>
    <definedName name="AssmEquity">Assumptions!$H$30</definedName>
    <definedName name="AssmEquityDate">Assumptions!$H$31</definedName>
    <definedName name="AssmHosting">Assumptions!$H$18</definedName>
    <definedName name="AssmInflationRate">[1]Assumptions!$C$8</definedName>
    <definedName name="AssmIT">Assumptions!$H$16</definedName>
    <definedName name="AssmLaptop">Assumptions!$H$23</definedName>
    <definedName name="AssmLaptopLife">Assumptions!$H$24</definedName>
    <definedName name="AssmLegal">Assumptions!$H$14</definedName>
    <definedName name="AssmLoanAmt">Assumptions!$H$25</definedName>
    <definedName name="AssmLoanSecurity">Assumptions!$H$27</definedName>
    <definedName name="AssmLoanStart">Assumptions!$H$29</definedName>
    <definedName name="AssmLoanTerm">Assumptions!$H$26</definedName>
    <definedName name="AssmModelHeader">Assumptions!$H$13</definedName>
    <definedName name="AssmModelName">Assumptions!$H$8</definedName>
    <definedName name="AssmOffice">Assumptions!$H$19</definedName>
    <definedName name="AssmStaffScenario">Assumptions!$H$12</definedName>
    <definedName name="AssmStartDate">Assumptions!$H$9</definedName>
    <definedName name="AssmTelecom">Assumptions!$H$20</definedName>
    <definedName name="AssmTVGrowthRate">Assumptions!$H$33</definedName>
    <definedName name="AssmWACC">Assumptions!$H$32</definedName>
    <definedName name="ErrChkCalcBalanceSheet">Calculations!$H$130</definedName>
    <definedName name="ErrChkCummaryCashFlow">Summary!$N$60</definedName>
    <definedName name="ErrChkOverall">'Error Checks'!$D$4</definedName>
    <definedName name="ErrChkSummaryBalanceSheet">Summary!$N$48</definedName>
    <definedName name="ErrChkSummaryIncomeStmt">Summary!$N$25</definedName>
    <definedName name="refCaseNames">tblCases[Case]</definedName>
    <definedName name="refStaffPositions">tblStaff[Staff]</definedName>
    <definedName name="refStaffScenario">tblStaffScenario[Staffing Scenario]</definedName>
    <definedName name="rngDest">Calculations!$I$99:$BP$99</definedName>
    <definedName name="rngSource">Calculations!$I$130:$BP$130</definedName>
    <definedName name="Start">ToC!$C$6</definedName>
    <definedName name="V_CashFlow">Calculations!$H$227</definedName>
    <definedName name="V_IRR">Calculations!$H$280</definedName>
    <definedName name="V_NPATperYr">Summary!$I$23:$M$23</definedName>
    <definedName name="V_NPV">Calculations!$H$279</definedName>
  </definedNames>
  <calcPr calcId="191029" concurrentManualCount="2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7" i="17" l="1"/>
  <c r="B6" i="17"/>
  <c r="B6" i="15"/>
  <c r="B2" i="3"/>
  <c r="B2" i="11"/>
  <c r="C9" i="18" a="1"/>
  <c r="C8" i="18" a="1"/>
  <c r="C6" i="18" a="1"/>
  <c r="C10" i="18" a="1"/>
  <c r="C7" i="18" a="1"/>
  <c r="E10" i="10" l="1"/>
  <c r="E9" i="10"/>
  <c r="E8" i="10"/>
  <c r="E7" i="10"/>
  <c r="Q18" i="9" l="1"/>
  <c r="Q9" i="9"/>
  <c r="Q8" i="9"/>
  <c r="Q7" i="9"/>
  <c r="I223" i="4" l="1"/>
  <c r="I173" i="4"/>
  <c r="E58" i="9" l="1"/>
  <c r="E57" i="9"/>
  <c r="A53" i="9"/>
  <c r="A52" i="9"/>
  <c r="A51" i="9"/>
  <c r="E54" i="9"/>
  <c r="E53" i="9"/>
  <c r="E52" i="9"/>
  <c r="E45" i="9"/>
  <c r="E44" i="9"/>
  <c r="E38" i="9"/>
  <c r="E37" i="9"/>
  <c r="E33" i="9"/>
  <c r="E32" i="9"/>
  <c r="A13" i="9"/>
  <c r="A14" i="9"/>
  <c r="A17" i="9"/>
  <c r="A19" i="9"/>
  <c r="A20" i="9"/>
  <c r="A22" i="9"/>
  <c r="D23" i="9"/>
  <c r="A23" i="9" s="1"/>
  <c r="E22" i="9"/>
  <c r="D21" i="9"/>
  <c r="A21" i="9" s="1"/>
  <c r="E20" i="9"/>
  <c r="E19" i="9"/>
  <c r="D18" i="9"/>
  <c r="A18" i="9" s="1"/>
  <c r="E17" i="9"/>
  <c r="D16" i="9"/>
  <c r="A16" i="9" s="1"/>
  <c r="D15" i="9"/>
  <c r="A15" i="9" s="1"/>
  <c r="D12" i="9"/>
  <c r="A12" i="9" s="1"/>
  <c r="D11" i="9"/>
  <c r="A11" i="9" s="1"/>
  <c r="D10" i="9"/>
  <c r="A10" i="9" s="1"/>
  <c r="N22" i="3" l="1"/>
  <c r="N15" i="3"/>
  <c r="BP187" i="4" l="1"/>
  <c r="BO187" i="4"/>
  <c r="BN187" i="4"/>
  <c r="BM187" i="4"/>
  <c r="BL187" i="4"/>
  <c r="BK187" i="4"/>
  <c r="BJ187" i="4"/>
  <c r="BI187" i="4"/>
  <c r="BH187" i="4"/>
  <c r="BG187" i="4"/>
  <c r="BF187" i="4"/>
  <c r="BE187" i="4"/>
  <c r="BD187" i="4"/>
  <c r="BC187" i="4"/>
  <c r="BB187" i="4"/>
  <c r="BA187" i="4"/>
  <c r="AZ187" i="4"/>
  <c r="AY187" i="4"/>
  <c r="AX187" i="4"/>
  <c r="AW187" i="4"/>
  <c r="AV187" i="4"/>
  <c r="AU187" i="4"/>
  <c r="AT187" i="4"/>
  <c r="AS187" i="4"/>
  <c r="AR187" i="4"/>
  <c r="AQ187" i="4"/>
  <c r="AP187" i="4"/>
  <c r="AO187" i="4"/>
  <c r="AN187" i="4"/>
  <c r="AM187" i="4"/>
  <c r="AL187" i="4"/>
  <c r="AK187" i="4"/>
  <c r="AJ187" i="4"/>
  <c r="AI187" i="4"/>
  <c r="AH187" i="4"/>
  <c r="AG187" i="4"/>
  <c r="AF187" i="4"/>
  <c r="AE187" i="4"/>
  <c r="AD187" i="4"/>
  <c r="AC187" i="4"/>
  <c r="AB187" i="4"/>
  <c r="AA187" i="4"/>
  <c r="Z187" i="4"/>
  <c r="Y187" i="4"/>
  <c r="X187" i="4"/>
  <c r="W187" i="4"/>
  <c r="V187" i="4"/>
  <c r="U187" i="4"/>
  <c r="T187" i="4"/>
  <c r="S187" i="4"/>
  <c r="R187" i="4"/>
  <c r="Q187" i="4"/>
  <c r="P187" i="4"/>
  <c r="O187" i="4"/>
  <c r="N187" i="4"/>
  <c r="M187" i="4"/>
  <c r="L187" i="4"/>
  <c r="K187" i="4"/>
  <c r="J187" i="4"/>
  <c r="I187" i="4"/>
  <c r="I229" i="4" l="1"/>
  <c r="BP220" i="4"/>
  <c r="BO220" i="4"/>
  <c r="BN220" i="4"/>
  <c r="BM220" i="4"/>
  <c r="BL220" i="4"/>
  <c r="BK220" i="4"/>
  <c r="BJ220" i="4"/>
  <c r="BI220" i="4"/>
  <c r="BH220" i="4"/>
  <c r="BG220" i="4"/>
  <c r="BF220" i="4"/>
  <c r="BE220" i="4"/>
  <c r="BD220" i="4"/>
  <c r="BC220" i="4"/>
  <c r="BB220" i="4"/>
  <c r="BA220" i="4"/>
  <c r="AZ220" i="4"/>
  <c r="AY220" i="4"/>
  <c r="AX220" i="4"/>
  <c r="AW220" i="4"/>
  <c r="AV220" i="4"/>
  <c r="AU220" i="4"/>
  <c r="AT220" i="4"/>
  <c r="AS220" i="4"/>
  <c r="AR220" i="4"/>
  <c r="AQ220" i="4"/>
  <c r="AP220" i="4"/>
  <c r="AO220" i="4"/>
  <c r="AN220" i="4"/>
  <c r="AM220" i="4"/>
  <c r="AL220" i="4"/>
  <c r="AK220" i="4"/>
  <c r="AJ220" i="4"/>
  <c r="AI220" i="4"/>
  <c r="AH220" i="4"/>
  <c r="AG220" i="4"/>
  <c r="AF220" i="4"/>
  <c r="AE220" i="4"/>
  <c r="AD220" i="4"/>
  <c r="AC220" i="4"/>
  <c r="AB220" i="4"/>
  <c r="AA220" i="4"/>
  <c r="Z220" i="4"/>
  <c r="Y220" i="4"/>
  <c r="X220" i="4"/>
  <c r="W220" i="4"/>
  <c r="V220" i="4"/>
  <c r="U220" i="4"/>
  <c r="T220" i="4"/>
  <c r="S220" i="4"/>
  <c r="R220" i="4"/>
  <c r="Q220" i="4"/>
  <c r="P220" i="4"/>
  <c r="O220" i="4"/>
  <c r="N220" i="4"/>
  <c r="M220" i="4"/>
  <c r="L220" i="4"/>
  <c r="K220" i="4"/>
  <c r="J220" i="4"/>
  <c r="BP214" i="4"/>
  <c r="BO214" i="4"/>
  <c r="BN214" i="4"/>
  <c r="BM214" i="4"/>
  <c r="BL214" i="4"/>
  <c r="BK214" i="4"/>
  <c r="BJ214" i="4"/>
  <c r="BI214" i="4"/>
  <c r="BH214" i="4"/>
  <c r="BG214" i="4"/>
  <c r="BF214" i="4"/>
  <c r="BE214" i="4"/>
  <c r="BD214" i="4"/>
  <c r="BC214" i="4"/>
  <c r="BB214" i="4"/>
  <c r="BA214" i="4"/>
  <c r="AZ214" i="4"/>
  <c r="AY214" i="4"/>
  <c r="AX214" i="4"/>
  <c r="AW214" i="4"/>
  <c r="AV214" i="4"/>
  <c r="AU214" i="4"/>
  <c r="AT214" i="4"/>
  <c r="AS214" i="4"/>
  <c r="AR214" i="4"/>
  <c r="AQ214" i="4"/>
  <c r="AP214" i="4"/>
  <c r="AO214" i="4"/>
  <c r="AN214" i="4"/>
  <c r="AM214" i="4"/>
  <c r="AL214" i="4"/>
  <c r="AK214" i="4"/>
  <c r="AJ214" i="4"/>
  <c r="AI214" i="4"/>
  <c r="AH214" i="4"/>
  <c r="AG214" i="4"/>
  <c r="AF214" i="4"/>
  <c r="AE214" i="4"/>
  <c r="AD214" i="4"/>
  <c r="AC214" i="4"/>
  <c r="AB214" i="4"/>
  <c r="AA214" i="4"/>
  <c r="Z214" i="4"/>
  <c r="Y214" i="4"/>
  <c r="X214" i="4"/>
  <c r="W214" i="4"/>
  <c r="V214" i="4"/>
  <c r="U214" i="4"/>
  <c r="T214" i="4"/>
  <c r="S214" i="4"/>
  <c r="R214" i="4"/>
  <c r="Q214" i="4"/>
  <c r="P214" i="4"/>
  <c r="O214" i="4"/>
  <c r="N214" i="4"/>
  <c r="M214" i="4"/>
  <c r="L214" i="4"/>
  <c r="K214" i="4"/>
  <c r="J214" i="4"/>
  <c r="I220" i="4"/>
  <c r="I214" i="4"/>
  <c r="I198" i="4" l="1"/>
  <c r="I192" i="4"/>
  <c r="I179" i="4"/>
  <c r="I181" i="4" s="1"/>
  <c r="I164" i="4"/>
  <c r="I156" i="4"/>
  <c r="I182" i="4" l="1"/>
  <c r="I150" i="4"/>
  <c r="H145" i="4"/>
  <c r="I144" i="4"/>
  <c r="I135" i="4"/>
  <c r="I86" i="4" l="1"/>
  <c r="I218" i="4" s="1"/>
  <c r="I183" i="4"/>
  <c r="I222" i="4" s="1"/>
  <c r="H73" i="4"/>
  <c r="H72" i="4"/>
  <c r="H71" i="4"/>
  <c r="H70" i="4"/>
  <c r="H69" i="4"/>
  <c r="H68" i="4"/>
  <c r="H67" i="4"/>
  <c r="H66" i="4"/>
  <c r="I66" i="4" s="1"/>
  <c r="J66" i="4" s="1"/>
  <c r="AF56" i="4"/>
  <c r="AE56" i="4"/>
  <c r="AD56" i="4"/>
  <c r="AC56" i="4"/>
  <c r="AB56" i="4"/>
  <c r="AA56" i="4"/>
  <c r="Z56" i="4"/>
  <c r="Y56" i="4"/>
  <c r="X56" i="4"/>
  <c r="W56" i="4"/>
  <c r="V56" i="4"/>
  <c r="U56" i="4"/>
  <c r="T56" i="4"/>
  <c r="S56" i="4"/>
  <c r="R56" i="4"/>
  <c r="Q56" i="4"/>
  <c r="P56" i="4"/>
  <c r="O56" i="4"/>
  <c r="N56" i="4"/>
  <c r="M56" i="4"/>
  <c r="L56" i="4"/>
  <c r="K56" i="4"/>
  <c r="J56" i="4"/>
  <c r="I56" i="4"/>
  <c r="AR55" i="4"/>
  <c r="AQ55" i="4"/>
  <c r="AP55" i="4"/>
  <c r="AO55" i="4"/>
  <c r="AN55" i="4"/>
  <c r="AM55" i="4"/>
  <c r="AL55" i="4"/>
  <c r="AK55" i="4"/>
  <c r="AJ55" i="4"/>
  <c r="AI55" i="4"/>
  <c r="AH55" i="4"/>
  <c r="AG55" i="4"/>
  <c r="AF55" i="4"/>
  <c r="AE55" i="4"/>
  <c r="AD55" i="4"/>
  <c r="AC55" i="4"/>
  <c r="AB55" i="4"/>
  <c r="AA55" i="4"/>
  <c r="Z55" i="4"/>
  <c r="Y55" i="4"/>
  <c r="X55" i="4"/>
  <c r="W55" i="4"/>
  <c r="V55" i="4"/>
  <c r="U55" i="4"/>
  <c r="T55" i="4"/>
  <c r="S55" i="4"/>
  <c r="R55" i="4"/>
  <c r="Q55" i="4"/>
  <c r="P55" i="4"/>
  <c r="O55" i="4"/>
  <c r="N55" i="4"/>
  <c r="M55" i="4"/>
  <c r="L55" i="4"/>
  <c r="K55" i="4"/>
  <c r="J55" i="4"/>
  <c r="I55" i="4"/>
  <c r="BP54" i="4"/>
  <c r="BO54" i="4"/>
  <c r="BN54" i="4"/>
  <c r="BM54" i="4"/>
  <c r="BL54" i="4"/>
  <c r="BK54" i="4"/>
  <c r="BJ54" i="4"/>
  <c r="BI54" i="4"/>
  <c r="BH54" i="4"/>
  <c r="BG54" i="4"/>
  <c r="BF54" i="4"/>
  <c r="BE54" i="4"/>
  <c r="BD54" i="4"/>
  <c r="BC54" i="4"/>
  <c r="BB54" i="4"/>
  <c r="BA54" i="4"/>
  <c r="AZ54" i="4"/>
  <c r="AY54" i="4"/>
  <c r="AX54" i="4"/>
  <c r="AW54" i="4"/>
  <c r="AV54" i="4"/>
  <c r="AU54" i="4"/>
  <c r="AT54" i="4"/>
  <c r="AS54" i="4"/>
  <c r="AR54" i="4"/>
  <c r="AQ54" i="4"/>
  <c r="AP54" i="4"/>
  <c r="AO54" i="4"/>
  <c r="AN54" i="4"/>
  <c r="AM54" i="4"/>
  <c r="AL54" i="4"/>
  <c r="AK54" i="4"/>
  <c r="AJ54" i="4"/>
  <c r="AI54" i="4"/>
  <c r="AH54" i="4"/>
  <c r="AG54" i="4"/>
  <c r="AF54" i="4"/>
  <c r="AE54" i="4"/>
  <c r="AD54" i="4"/>
  <c r="AC54" i="4"/>
  <c r="AB54" i="4"/>
  <c r="AA54" i="4"/>
  <c r="Z54" i="4"/>
  <c r="Y54" i="4"/>
  <c r="X54" i="4"/>
  <c r="W54" i="4"/>
  <c r="V54" i="4"/>
  <c r="U54" i="4"/>
  <c r="T54" i="4"/>
  <c r="S54" i="4"/>
  <c r="R54" i="4"/>
  <c r="Q54" i="4"/>
  <c r="P54" i="4"/>
  <c r="O54" i="4"/>
  <c r="N54" i="4"/>
  <c r="M54" i="4"/>
  <c r="L54" i="4"/>
  <c r="K54" i="4"/>
  <c r="J54" i="4"/>
  <c r="I54" i="4"/>
  <c r="BP53" i="4"/>
  <c r="BO53" i="4"/>
  <c r="BN53" i="4"/>
  <c r="BM53" i="4"/>
  <c r="BL53" i="4"/>
  <c r="BK53" i="4"/>
  <c r="BJ53" i="4"/>
  <c r="BI53" i="4"/>
  <c r="BH53" i="4"/>
  <c r="BG53" i="4"/>
  <c r="BF53" i="4"/>
  <c r="BE53" i="4"/>
  <c r="BD53" i="4"/>
  <c r="BC53" i="4"/>
  <c r="BB53" i="4"/>
  <c r="BA53" i="4"/>
  <c r="AZ53" i="4"/>
  <c r="AY53" i="4"/>
  <c r="AX53" i="4"/>
  <c r="AW53" i="4"/>
  <c r="AV53" i="4"/>
  <c r="AU53" i="4"/>
  <c r="AT53" i="4"/>
  <c r="AS53" i="4"/>
  <c r="AR53" i="4"/>
  <c r="AQ53" i="4"/>
  <c r="AP53" i="4"/>
  <c r="AO53" i="4"/>
  <c r="AN53" i="4"/>
  <c r="AM53" i="4"/>
  <c r="AL53" i="4"/>
  <c r="AK53" i="4"/>
  <c r="AJ53" i="4"/>
  <c r="AI53" i="4"/>
  <c r="AH53" i="4"/>
  <c r="AG53" i="4"/>
  <c r="AF53" i="4"/>
  <c r="AE53" i="4"/>
  <c r="AD53" i="4"/>
  <c r="AC53" i="4"/>
  <c r="AB53" i="4"/>
  <c r="AA53" i="4"/>
  <c r="Z53" i="4"/>
  <c r="Y53" i="4"/>
  <c r="X53" i="4"/>
  <c r="W53" i="4"/>
  <c r="V53" i="4"/>
  <c r="U53" i="4"/>
  <c r="T53" i="4"/>
  <c r="S53" i="4"/>
  <c r="R53" i="4"/>
  <c r="Q53" i="4"/>
  <c r="P53" i="4"/>
  <c r="O53" i="4"/>
  <c r="N53" i="4"/>
  <c r="M53" i="4"/>
  <c r="L53" i="4"/>
  <c r="K53" i="4"/>
  <c r="J53" i="4"/>
  <c r="I53" i="4"/>
  <c r="H56" i="4"/>
  <c r="H55" i="4"/>
  <c r="H54" i="4"/>
  <c r="H53" i="4"/>
  <c r="H51" i="3"/>
  <c r="H52" i="3"/>
  <c r="H53" i="3"/>
  <c r="H48" i="3"/>
  <c r="H49" i="3"/>
  <c r="H50" i="3"/>
  <c r="AQ32" i="4"/>
  <c r="AP32" i="4"/>
  <c r="AO32" i="4"/>
  <c r="AN32" i="4"/>
  <c r="AM32" i="4"/>
  <c r="AL32" i="4"/>
  <c r="AK32" i="4"/>
  <c r="AJ32" i="4"/>
  <c r="AI32" i="4"/>
  <c r="AH32" i="4"/>
  <c r="AG32" i="4"/>
  <c r="AF32" i="4"/>
  <c r="AE32" i="4"/>
  <c r="AD32" i="4"/>
  <c r="AC32" i="4"/>
  <c r="AB32" i="4"/>
  <c r="AA32" i="4"/>
  <c r="Z32" i="4"/>
  <c r="Y32" i="4"/>
  <c r="X32" i="4"/>
  <c r="W32" i="4"/>
  <c r="V32" i="4"/>
  <c r="U32" i="4"/>
  <c r="T32" i="4"/>
  <c r="S32" i="4"/>
  <c r="R32" i="4"/>
  <c r="Q32" i="4"/>
  <c r="P32" i="4"/>
  <c r="O32" i="4"/>
  <c r="N32" i="4"/>
  <c r="M32" i="4"/>
  <c r="L32" i="4"/>
  <c r="K32" i="4"/>
  <c r="J32" i="4"/>
  <c r="AQ31" i="4"/>
  <c r="AP31" i="4"/>
  <c r="AO31" i="4"/>
  <c r="AN31" i="4"/>
  <c r="AM31" i="4"/>
  <c r="AL31" i="4"/>
  <c r="AK31" i="4"/>
  <c r="AJ31" i="4"/>
  <c r="AI31" i="4"/>
  <c r="AH31" i="4"/>
  <c r="AG31" i="4"/>
  <c r="AF31" i="4"/>
  <c r="AE31" i="4"/>
  <c r="AD31" i="4"/>
  <c r="AC31" i="4"/>
  <c r="AB31" i="4"/>
  <c r="AA31" i="4"/>
  <c r="Z31" i="4"/>
  <c r="Y31" i="4"/>
  <c r="X31" i="4"/>
  <c r="W31" i="4"/>
  <c r="V31" i="4"/>
  <c r="U31" i="4"/>
  <c r="T31" i="4"/>
  <c r="S31" i="4"/>
  <c r="R31" i="4"/>
  <c r="Q31" i="4"/>
  <c r="P31" i="4"/>
  <c r="O31" i="4"/>
  <c r="N31" i="4"/>
  <c r="M31" i="4"/>
  <c r="L31" i="4"/>
  <c r="K31" i="4"/>
  <c r="J31" i="4"/>
  <c r="AR30" i="4"/>
  <c r="AQ30" i="4"/>
  <c r="AP30" i="4"/>
  <c r="AO30" i="4"/>
  <c r="AN30" i="4"/>
  <c r="AM30" i="4"/>
  <c r="AL30" i="4"/>
  <c r="AK30" i="4"/>
  <c r="AJ30" i="4"/>
  <c r="AI30" i="4"/>
  <c r="AH30" i="4"/>
  <c r="AG30" i="4"/>
  <c r="AF30" i="4"/>
  <c r="AE30" i="4"/>
  <c r="AD30" i="4"/>
  <c r="AC30" i="4"/>
  <c r="AB30" i="4"/>
  <c r="AA30" i="4"/>
  <c r="Z30" i="4"/>
  <c r="Y30" i="4"/>
  <c r="X30" i="4"/>
  <c r="W30" i="4"/>
  <c r="V30" i="4"/>
  <c r="U30" i="4"/>
  <c r="T30" i="4"/>
  <c r="S30" i="4"/>
  <c r="R30" i="4"/>
  <c r="Q30" i="4"/>
  <c r="P30" i="4"/>
  <c r="O30" i="4"/>
  <c r="N30" i="4"/>
  <c r="M30" i="4"/>
  <c r="L30" i="4"/>
  <c r="K30" i="4"/>
  <c r="J30" i="4"/>
  <c r="AN29" i="4"/>
  <c r="AM29" i="4"/>
  <c r="AL29" i="4"/>
  <c r="AK29" i="4"/>
  <c r="AJ29" i="4"/>
  <c r="AI29" i="4"/>
  <c r="AH29" i="4"/>
  <c r="AG29" i="4"/>
  <c r="AF29" i="4"/>
  <c r="AE29" i="4"/>
  <c r="AD29" i="4"/>
  <c r="AC29" i="4"/>
  <c r="AB29" i="4"/>
  <c r="AA29" i="4"/>
  <c r="Z29" i="4"/>
  <c r="Y29" i="4"/>
  <c r="X29" i="4"/>
  <c r="W29" i="4"/>
  <c r="V29" i="4"/>
  <c r="U29" i="4"/>
  <c r="T29" i="4"/>
  <c r="S29" i="4"/>
  <c r="R29" i="4"/>
  <c r="Q29" i="4"/>
  <c r="P29" i="4"/>
  <c r="O29" i="4"/>
  <c r="N29" i="4"/>
  <c r="M29" i="4"/>
  <c r="L29" i="4"/>
  <c r="K29" i="4"/>
  <c r="J29" i="4"/>
  <c r="BP28" i="4"/>
  <c r="BO28" i="4"/>
  <c r="BN28" i="4"/>
  <c r="BM28" i="4"/>
  <c r="BL28" i="4"/>
  <c r="BK28" i="4"/>
  <c r="BJ28" i="4"/>
  <c r="BI28" i="4"/>
  <c r="BH28" i="4"/>
  <c r="BG28" i="4"/>
  <c r="BF28" i="4"/>
  <c r="BE28" i="4"/>
  <c r="BD28" i="4"/>
  <c r="BC28" i="4"/>
  <c r="BB28" i="4"/>
  <c r="BA28" i="4"/>
  <c r="AZ28" i="4"/>
  <c r="AY28" i="4"/>
  <c r="AX28" i="4"/>
  <c r="AW28" i="4"/>
  <c r="AV28" i="4"/>
  <c r="AU28" i="4"/>
  <c r="AT28" i="4"/>
  <c r="AS28" i="4"/>
  <c r="AR28" i="4"/>
  <c r="AQ28" i="4"/>
  <c r="AP28" i="4"/>
  <c r="AO28" i="4"/>
  <c r="AN28" i="4"/>
  <c r="AM28" i="4"/>
  <c r="AL28" i="4"/>
  <c r="AK28" i="4"/>
  <c r="AJ28" i="4"/>
  <c r="AI28" i="4"/>
  <c r="AH28" i="4"/>
  <c r="AG28" i="4"/>
  <c r="AF28" i="4"/>
  <c r="AE28" i="4"/>
  <c r="AD28" i="4"/>
  <c r="AC28" i="4"/>
  <c r="AB28" i="4"/>
  <c r="AA28" i="4"/>
  <c r="Z28" i="4"/>
  <c r="Y28" i="4"/>
  <c r="X28" i="4"/>
  <c r="W28" i="4"/>
  <c r="V28" i="4"/>
  <c r="U28" i="4"/>
  <c r="T28" i="4"/>
  <c r="S28" i="4"/>
  <c r="R28" i="4"/>
  <c r="Q28" i="4"/>
  <c r="P28" i="4"/>
  <c r="O28" i="4"/>
  <c r="N28" i="4"/>
  <c r="M28" i="4"/>
  <c r="L28" i="4"/>
  <c r="K28" i="4"/>
  <c r="J28" i="4"/>
  <c r="BP27" i="4"/>
  <c r="BO27" i="4"/>
  <c r="BN27" i="4"/>
  <c r="BM27" i="4"/>
  <c r="BL27" i="4"/>
  <c r="BK27" i="4"/>
  <c r="BJ27" i="4"/>
  <c r="BI27" i="4"/>
  <c r="BH27" i="4"/>
  <c r="BG27" i="4"/>
  <c r="BF27" i="4"/>
  <c r="BE27" i="4"/>
  <c r="BD27" i="4"/>
  <c r="BC27" i="4"/>
  <c r="BB27" i="4"/>
  <c r="BA27" i="4"/>
  <c r="AZ27" i="4"/>
  <c r="AY27" i="4"/>
  <c r="AX27" i="4"/>
  <c r="AW27" i="4"/>
  <c r="AV27" i="4"/>
  <c r="AU27" i="4"/>
  <c r="AT27" i="4"/>
  <c r="AS27" i="4"/>
  <c r="AR27" i="4"/>
  <c r="AQ27" i="4"/>
  <c r="AP27" i="4"/>
  <c r="AO27" i="4"/>
  <c r="AN27" i="4"/>
  <c r="AM27" i="4"/>
  <c r="AL27" i="4"/>
  <c r="AK27" i="4"/>
  <c r="AJ27" i="4"/>
  <c r="AI27" i="4"/>
  <c r="AH27" i="4"/>
  <c r="AG27" i="4"/>
  <c r="AF27" i="4"/>
  <c r="AE27" i="4"/>
  <c r="AD27" i="4"/>
  <c r="AC27" i="4"/>
  <c r="AB27" i="4"/>
  <c r="AA27" i="4"/>
  <c r="Z27" i="4"/>
  <c r="Y27" i="4"/>
  <c r="X27" i="4"/>
  <c r="W27" i="4"/>
  <c r="V27" i="4"/>
  <c r="U27" i="4"/>
  <c r="T27" i="4"/>
  <c r="S27" i="4"/>
  <c r="R27" i="4"/>
  <c r="Q27" i="4"/>
  <c r="P27" i="4"/>
  <c r="O27" i="4"/>
  <c r="N27" i="4"/>
  <c r="M27" i="4"/>
  <c r="L27" i="4"/>
  <c r="K27" i="4"/>
  <c r="J27" i="4"/>
  <c r="I28" i="4"/>
  <c r="I29" i="4"/>
  <c r="I30" i="4"/>
  <c r="I31" i="4"/>
  <c r="I32" i="4"/>
  <c r="I27" i="4"/>
  <c r="H28" i="4"/>
  <c r="H29" i="4"/>
  <c r="H30" i="4"/>
  <c r="H31" i="4"/>
  <c r="H32" i="4"/>
  <c r="H27" i="4"/>
  <c r="H66" i="3"/>
  <c r="H67" i="3"/>
  <c r="H68" i="3"/>
  <c r="H69" i="3"/>
  <c r="H70" i="3"/>
  <c r="H71" i="3"/>
  <c r="H72" i="3"/>
  <c r="H73" i="3"/>
  <c r="H74" i="3"/>
  <c r="H75" i="3"/>
  <c r="H76" i="3"/>
  <c r="H77" i="3"/>
  <c r="H78" i="3"/>
  <c r="H79" i="3"/>
  <c r="H80" i="3"/>
  <c r="H81" i="3"/>
  <c r="H82" i="3"/>
  <c r="H83" i="3"/>
  <c r="H84" i="3"/>
  <c r="H85" i="3"/>
  <c r="H86" i="3"/>
  <c r="H87" i="3"/>
  <c r="H88" i="3"/>
  <c r="H89" i="3"/>
  <c r="H90" i="3"/>
  <c r="H91" i="3"/>
  <c r="H92" i="3"/>
  <c r="H93" i="3"/>
  <c r="H94" i="3"/>
  <c r="H95" i="3"/>
  <c r="H96" i="3"/>
  <c r="H97" i="3"/>
  <c r="H98" i="3"/>
  <c r="H99" i="3"/>
  <c r="H100" i="3"/>
  <c r="H101" i="3"/>
  <c r="H102" i="3"/>
  <c r="H103" i="3"/>
  <c r="H104" i="3"/>
  <c r="H105" i="3"/>
  <c r="H106" i="3"/>
  <c r="H107" i="3"/>
  <c r="H108" i="3"/>
  <c r="H109" i="3"/>
  <c r="H110" i="3"/>
  <c r="H111" i="3"/>
  <c r="H112" i="3"/>
  <c r="H113" i="3"/>
  <c r="H114" i="3"/>
  <c r="H115" i="3"/>
  <c r="H116" i="3"/>
  <c r="H117" i="3"/>
  <c r="H118" i="3"/>
  <c r="H18" i="4"/>
  <c r="I15" i="4" s="1"/>
  <c r="AQ113" i="3"/>
  <c r="AP113" i="3"/>
  <c r="AO113" i="3"/>
  <c r="BP107" i="3"/>
  <c r="BO107" i="3"/>
  <c r="BN107" i="3"/>
  <c r="BM107" i="3"/>
  <c r="BL107" i="3"/>
  <c r="BK107" i="3"/>
  <c r="BJ107" i="3"/>
  <c r="BI107" i="3"/>
  <c r="BH107" i="3"/>
  <c r="BG107" i="3"/>
  <c r="BF107" i="3"/>
  <c r="BE107" i="3"/>
  <c r="BD107" i="3"/>
  <c r="BC107" i="3"/>
  <c r="BB107" i="3"/>
  <c r="BA107" i="3"/>
  <c r="AZ107" i="3"/>
  <c r="AZ113" i="3" s="1"/>
  <c r="AY107" i="3"/>
  <c r="AY113" i="3" s="1"/>
  <c r="AX107" i="3"/>
  <c r="AW107" i="3"/>
  <c r="AV107" i="3"/>
  <c r="AV113" i="3" s="1"/>
  <c r="AU107" i="3"/>
  <c r="AU113" i="3" s="1"/>
  <c r="AT107" i="3"/>
  <c r="AT113" i="3" s="1"/>
  <c r="AS107" i="3"/>
  <c r="AS113" i="3" s="1"/>
  <c r="AR107" i="3"/>
  <c r="AR113" i="3" s="1"/>
  <c r="BP105" i="3"/>
  <c r="BO105" i="3"/>
  <c r="BN105" i="3"/>
  <c r="BM105" i="3"/>
  <c r="BL105" i="3"/>
  <c r="BK105" i="3"/>
  <c r="BJ105" i="3"/>
  <c r="BI105" i="3"/>
  <c r="BH105" i="3"/>
  <c r="BG105" i="3"/>
  <c r="BF105" i="3"/>
  <c r="BE105" i="3"/>
  <c r="BD105" i="3"/>
  <c r="BC105" i="3"/>
  <c r="BB105" i="3"/>
  <c r="BA105" i="3"/>
  <c r="AX105" i="3"/>
  <c r="AW105" i="3"/>
  <c r="AQ101" i="3"/>
  <c r="AP101" i="3"/>
  <c r="AO101" i="3"/>
  <c r="AN101" i="3"/>
  <c r="AM101" i="3"/>
  <c r="AL101" i="3"/>
  <c r="AK101" i="3"/>
  <c r="AJ101" i="3"/>
  <c r="AI101" i="3"/>
  <c r="AH101" i="3"/>
  <c r="AG101" i="3"/>
  <c r="AR96" i="3"/>
  <c r="AR32" i="4" s="1"/>
  <c r="BP95" i="3"/>
  <c r="BO95" i="3"/>
  <c r="BN95" i="3"/>
  <c r="BM95" i="3"/>
  <c r="BM31" i="4" s="1"/>
  <c r="BL95" i="3"/>
  <c r="BK95" i="3"/>
  <c r="BK31" i="4" s="1"/>
  <c r="BJ95" i="3"/>
  <c r="BI95" i="3"/>
  <c r="BH95" i="3"/>
  <c r="BG95" i="3"/>
  <c r="BF95" i="3"/>
  <c r="BE95" i="3"/>
  <c r="BE31" i="4" s="1"/>
  <c r="BD95" i="3"/>
  <c r="BC95" i="3"/>
  <c r="BC31" i="4" s="1"/>
  <c r="BB95" i="3"/>
  <c r="BA95" i="3"/>
  <c r="BA31" i="4" s="1"/>
  <c r="AZ95" i="3"/>
  <c r="AY95" i="3"/>
  <c r="AY31" i="4" s="1"/>
  <c r="AX95" i="3"/>
  <c r="AW95" i="3"/>
  <c r="AW31" i="4" s="1"/>
  <c r="AV95" i="3"/>
  <c r="AU95" i="3"/>
  <c r="AU31" i="4" s="1"/>
  <c r="AT95" i="3"/>
  <c r="AS95" i="3"/>
  <c r="AS31" i="4" s="1"/>
  <c r="AR95" i="3"/>
  <c r="AR31" i="4" s="1"/>
  <c r="BP93" i="3"/>
  <c r="BP96" i="3" s="1"/>
  <c r="BO93" i="3"/>
  <c r="BO96" i="3" s="1"/>
  <c r="BN93" i="3"/>
  <c r="BM93" i="3"/>
  <c r="BM96" i="3" s="1"/>
  <c r="BL93" i="3"/>
  <c r="BK93" i="3"/>
  <c r="BJ93" i="3"/>
  <c r="BI93" i="3"/>
  <c r="BI96" i="3" s="1"/>
  <c r="BH93" i="3"/>
  <c r="BH96" i="3" s="1"/>
  <c r="BG93" i="3"/>
  <c r="BG96" i="3" s="1"/>
  <c r="BF93" i="3"/>
  <c r="BE93" i="3"/>
  <c r="BE96" i="3" s="1"/>
  <c r="BD93" i="3"/>
  <c r="BC93" i="3"/>
  <c r="BB93" i="3"/>
  <c r="BA93" i="3"/>
  <c r="BA96" i="3" s="1"/>
  <c r="AZ93" i="3"/>
  <c r="AZ96" i="3" s="1"/>
  <c r="AY93" i="3"/>
  <c r="AY96" i="3" s="1"/>
  <c r="AX93" i="3"/>
  <c r="AW93" i="3"/>
  <c r="AW96" i="3" s="1"/>
  <c r="AV93" i="3"/>
  <c r="AU93" i="3"/>
  <c r="AT93" i="3"/>
  <c r="AS93" i="3"/>
  <c r="AS96" i="3" s="1"/>
  <c r="AN76" i="3"/>
  <c r="AM76" i="3"/>
  <c r="AL76" i="3"/>
  <c r="AK76" i="3"/>
  <c r="AJ76" i="3"/>
  <c r="AI76" i="3"/>
  <c r="AH76" i="3"/>
  <c r="AG76" i="3"/>
  <c r="BP68" i="3"/>
  <c r="BP69" i="3" s="1"/>
  <c r="BP30" i="4" s="1"/>
  <c r="BO68" i="3"/>
  <c r="BO69" i="3" s="1"/>
  <c r="BO30" i="4" s="1"/>
  <c r="BN68" i="3"/>
  <c r="BN69" i="3" s="1"/>
  <c r="BN30" i="4" s="1"/>
  <c r="BM68" i="3"/>
  <c r="BM71" i="3" s="1"/>
  <c r="BM70" i="3" s="1"/>
  <c r="BM75" i="3" s="1"/>
  <c r="BM55" i="4" s="1"/>
  <c r="BL68" i="3"/>
  <c r="BL71" i="3" s="1"/>
  <c r="BL70" i="3" s="1"/>
  <c r="BL75" i="3" s="1"/>
  <c r="BL55" i="4" s="1"/>
  <c r="BK68" i="3"/>
  <c r="BK71" i="3" s="1"/>
  <c r="BK70" i="3" s="1"/>
  <c r="BK75" i="3" s="1"/>
  <c r="BK55" i="4" s="1"/>
  <c r="BJ68" i="3"/>
  <c r="BJ71" i="3" s="1"/>
  <c r="BJ70" i="3" s="1"/>
  <c r="BJ75" i="3" s="1"/>
  <c r="BJ55" i="4" s="1"/>
  <c r="BI68" i="3"/>
  <c r="BI69" i="3" s="1"/>
  <c r="BI30" i="4" s="1"/>
  <c r="BH68" i="3"/>
  <c r="BH69" i="3" s="1"/>
  <c r="BH30" i="4" s="1"/>
  <c r="BG68" i="3"/>
  <c r="BF68" i="3"/>
  <c r="BE68" i="3"/>
  <c r="BE71" i="3" s="1"/>
  <c r="BE70" i="3" s="1"/>
  <c r="BE75" i="3" s="1"/>
  <c r="BE55" i="4" s="1"/>
  <c r="BD68" i="3"/>
  <c r="BD71" i="3" s="1"/>
  <c r="BD70" i="3" s="1"/>
  <c r="BD75" i="3" s="1"/>
  <c r="BD55" i="4" s="1"/>
  <c r="BC68" i="3"/>
  <c r="BC71" i="3" s="1"/>
  <c r="BC70" i="3" s="1"/>
  <c r="BC75" i="3" s="1"/>
  <c r="BC55" i="4" s="1"/>
  <c r="BB68" i="3"/>
  <c r="BB69" i="3" s="1"/>
  <c r="BB30" i="4" s="1"/>
  <c r="BA68" i="3"/>
  <c r="BA71" i="3" s="1"/>
  <c r="BA70" i="3" s="1"/>
  <c r="BA75" i="3" s="1"/>
  <c r="BA55" i="4" s="1"/>
  <c r="AZ68" i="3"/>
  <c r="AZ71" i="3" s="1"/>
  <c r="AZ70" i="3" s="1"/>
  <c r="AZ75" i="3" s="1"/>
  <c r="AZ55" i="4" s="1"/>
  <c r="AY68" i="3"/>
  <c r="AY71" i="3" s="1"/>
  <c r="AY70" i="3" s="1"/>
  <c r="AY75" i="3" s="1"/>
  <c r="AY55" i="4" s="1"/>
  <c r="AX68" i="3"/>
  <c r="AX69" i="3" s="1"/>
  <c r="AX30" i="4" s="1"/>
  <c r="AW68" i="3"/>
  <c r="AW71" i="3" s="1"/>
  <c r="AW70" i="3" s="1"/>
  <c r="AW75" i="3" s="1"/>
  <c r="AW55" i="4" s="1"/>
  <c r="AV68" i="3"/>
  <c r="AV71" i="3" s="1"/>
  <c r="AV70" i="3" s="1"/>
  <c r="AV75" i="3" s="1"/>
  <c r="AV55" i="4" s="1"/>
  <c r="AU68" i="3"/>
  <c r="AU71" i="3" s="1"/>
  <c r="AU70" i="3" s="1"/>
  <c r="AU75" i="3" s="1"/>
  <c r="AU55" i="4" s="1"/>
  <c r="AT68" i="3"/>
  <c r="AT69" i="3" s="1"/>
  <c r="AT30" i="4" s="1"/>
  <c r="AS68" i="3"/>
  <c r="AS71" i="3" s="1"/>
  <c r="AS70" i="3" s="1"/>
  <c r="AS75" i="3" s="1"/>
  <c r="AS55" i="4" s="1"/>
  <c r="AR68" i="3"/>
  <c r="AR76" i="3" s="1"/>
  <c r="AQ68" i="3"/>
  <c r="AQ76" i="3" s="1"/>
  <c r="AP68" i="3"/>
  <c r="AP76" i="3" s="1"/>
  <c r="AO68" i="3"/>
  <c r="AO76" i="3" s="1"/>
  <c r="AX29" i="4" l="1"/>
  <c r="BJ29" i="4"/>
  <c r="AH56" i="4"/>
  <c r="AN56" i="4"/>
  <c r="AP29" i="4"/>
  <c r="AR29" i="4"/>
  <c r="AT29" i="4"/>
  <c r="BB29" i="4"/>
  <c r="BF29" i="4"/>
  <c r="BN29" i="4"/>
  <c r="AJ56" i="4"/>
  <c r="AL56" i="4"/>
  <c r="AP56" i="4"/>
  <c r="AS32" i="4"/>
  <c r="AU29" i="4"/>
  <c r="AW32" i="4"/>
  <c r="AY32" i="4"/>
  <c r="BA32" i="4"/>
  <c r="BC29" i="4"/>
  <c r="BE32" i="4"/>
  <c r="BK29" i="4"/>
  <c r="BM32" i="4"/>
  <c r="AV31" i="4"/>
  <c r="AZ31" i="4"/>
  <c r="BD31" i="4"/>
  <c r="BJ31" i="4"/>
  <c r="BL31" i="4"/>
  <c r="AG56" i="4"/>
  <c r="AG145" i="4" s="1"/>
  <c r="AG213" i="4" s="1"/>
  <c r="AG215" i="4" s="1"/>
  <c r="AG259" i="4" s="1"/>
  <c r="AI56" i="4"/>
  <c r="AK56" i="4"/>
  <c r="AL145" i="4" s="1"/>
  <c r="AL213" i="4" s="1"/>
  <c r="AL215" i="4" s="1"/>
  <c r="AL259" i="4" s="1"/>
  <c r="AM56" i="4"/>
  <c r="AO56" i="4"/>
  <c r="AO58" i="4" s="1"/>
  <c r="AQ56" i="4"/>
  <c r="AO29" i="4"/>
  <c r="AO145" i="4" s="1"/>
  <c r="AO213" i="4" s="1"/>
  <c r="AO215" i="4" s="1"/>
  <c r="AO259" i="4" s="1"/>
  <c r="AQ29" i="4"/>
  <c r="N62" i="4" a="1"/>
  <c r="N62" i="4" s="1"/>
  <c r="R62" i="4" a="1"/>
  <c r="R62" i="4" s="1"/>
  <c r="AH62" i="4" a="1"/>
  <c r="AH62" i="4" s="1"/>
  <c r="V62" i="4" a="1"/>
  <c r="V62" i="4" s="1"/>
  <c r="AL62" i="4" a="1"/>
  <c r="AL62" i="4" s="1"/>
  <c r="AP62" i="4" a="1"/>
  <c r="AP62" i="4" s="1"/>
  <c r="J62" i="4" a="1"/>
  <c r="J62" i="4" s="1"/>
  <c r="Z62" i="4" a="1"/>
  <c r="Z62" i="4" s="1"/>
  <c r="AD62" i="4" a="1"/>
  <c r="AD62" i="4" s="1"/>
  <c r="K62" i="4" a="1"/>
  <c r="K62" i="4" s="1"/>
  <c r="O62" i="4" a="1"/>
  <c r="O62" i="4" s="1"/>
  <c r="S62" i="4" a="1"/>
  <c r="S62" i="4" s="1"/>
  <c r="W62" i="4" a="1"/>
  <c r="W62" i="4" s="1"/>
  <c r="AA62" i="4" a="1"/>
  <c r="AA62" i="4" s="1"/>
  <c r="AE62" i="4" a="1"/>
  <c r="AE62" i="4" s="1"/>
  <c r="AI62" i="4" a="1"/>
  <c r="AI62" i="4" s="1"/>
  <c r="AM62" i="4" a="1"/>
  <c r="AM62" i="4" s="1"/>
  <c r="AQ62" i="4" a="1"/>
  <c r="AQ62" i="4" s="1"/>
  <c r="I62" i="4" a="1"/>
  <c r="I62" i="4" s="1"/>
  <c r="L62" i="4" a="1"/>
  <c r="L62" i="4" s="1"/>
  <c r="P62" i="4" a="1"/>
  <c r="P62" i="4" s="1"/>
  <c r="T62" i="4" a="1"/>
  <c r="T62" i="4" s="1"/>
  <c r="X62" i="4" a="1"/>
  <c r="X62" i="4" s="1"/>
  <c r="AB62" i="4" a="1"/>
  <c r="AB62" i="4" s="1"/>
  <c r="AF62" i="4" a="1"/>
  <c r="AF62" i="4" s="1"/>
  <c r="AJ62" i="4" a="1"/>
  <c r="AJ62" i="4" s="1"/>
  <c r="AN62" i="4" a="1"/>
  <c r="AN62" i="4" s="1"/>
  <c r="M62" i="4" a="1"/>
  <c r="M62" i="4" s="1"/>
  <c r="Q62" i="4" a="1"/>
  <c r="Q62" i="4" s="1"/>
  <c r="U62" i="4" a="1"/>
  <c r="U62" i="4" s="1"/>
  <c r="Y62" i="4" a="1"/>
  <c r="Y62" i="4" s="1"/>
  <c r="AC62" i="4" a="1"/>
  <c r="AC62" i="4" s="1"/>
  <c r="AG62" i="4" a="1"/>
  <c r="AG62" i="4" s="1"/>
  <c r="AO62" i="4" a="1"/>
  <c r="AO62" i="4" s="1"/>
  <c r="AY69" i="3"/>
  <c r="AY30" i="4" s="1"/>
  <c r="AZ101" i="3"/>
  <c r="BH101" i="3"/>
  <c r="BP101" i="3"/>
  <c r="BD113" i="3"/>
  <c r="BL113" i="3"/>
  <c r="BF113" i="3"/>
  <c r="BN113" i="3"/>
  <c r="AW113" i="3"/>
  <c r="N145" i="4"/>
  <c r="N213" i="4" s="1"/>
  <c r="N215" i="4" s="1"/>
  <c r="N259" i="4" s="1"/>
  <c r="V145" i="4"/>
  <c r="V213" i="4" s="1"/>
  <c r="V215" i="4" s="1"/>
  <c r="V259" i="4" s="1"/>
  <c r="AD145" i="4"/>
  <c r="AD213" i="4" s="1"/>
  <c r="AD215" i="4" s="1"/>
  <c r="AD259" i="4" s="1"/>
  <c r="P145" i="4"/>
  <c r="P213" i="4" s="1"/>
  <c r="P215" i="4" s="1"/>
  <c r="P259" i="4" s="1"/>
  <c r="J145" i="4"/>
  <c r="J213" i="4" s="1"/>
  <c r="J215" i="4" s="1"/>
  <c r="J259" i="4" s="1"/>
  <c r="W145" i="4"/>
  <c r="W213" i="4" s="1"/>
  <c r="W215" i="4" s="1"/>
  <c r="W259" i="4" s="1"/>
  <c r="AF145" i="4"/>
  <c r="AF213" i="4" s="1"/>
  <c r="AF215" i="4" s="1"/>
  <c r="AF259" i="4" s="1"/>
  <c r="Q145" i="4"/>
  <c r="Q213" i="4" s="1"/>
  <c r="Q215" i="4" s="1"/>
  <c r="Q259" i="4" s="1"/>
  <c r="R145" i="4"/>
  <c r="R213" i="4" s="1"/>
  <c r="R215" i="4" s="1"/>
  <c r="R259" i="4" s="1"/>
  <c r="Z145" i="4"/>
  <c r="Z213" i="4" s="1"/>
  <c r="Z215" i="4" s="1"/>
  <c r="Z259" i="4" s="1"/>
  <c r="AP145" i="4"/>
  <c r="AP213" i="4" s="1"/>
  <c r="AP215" i="4" s="1"/>
  <c r="AP259" i="4" s="1"/>
  <c r="K145" i="4"/>
  <c r="K213" i="4" s="1"/>
  <c r="K215" i="4" s="1"/>
  <c r="K259" i="4" s="1"/>
  <c r="S145" i="4"/>
  <c r="S213" i="4" s="1"/>
  <c r="S215" i="4" s="1"/>
  <c r="S259" i="4" s="1"/>
  <c r="AA145" i="4"/>
  <c r="AA213" i="4" s="1"/>
  <c r="AA215" i="4" s="1"/>
  <c r="AA259" i="4" s="1"/>
  <c r="AI145" i="4"/>
  <c r="AI213" i="4" s="1"/>
  <c r="AI215" i="4" s="1"/>
  <c r="AI259" i="4" s="1"/>
  <c r="AQ145" i="4"/>
  <c r="AQ213" i="4" s="1"/>
  <c r="AQ215" i="4" s="1"/>
  <c r="AQ259" i="4" s="1"/>
  <c r="AM145" i="4"/>
  <c r="AM213" i="4" s="1"/>
  <c r="AM215" i="4" s="1"/>
  <c r="AM259" i="4" s="1"/>
  <c r="T145" i="4"/>
  <c r="T213" i="4" s="1"/>
  <c r="T215" i="4" s="1"/>
  <c r="T259" i="4" s="1"/>
  <c r="O145" i="4"/>
  <c r="O213" i="4" s="1"/>
  <c r="O215" i="4" s="1"/>
  <c r="O259" i="4" s="1"/>
  <c r="AE145" i="4"/>
  <c r="AE213" i="4" s="1"/>
  <c r="AE215" i="4" s="1"/>
  <c r="AE259" i="4" s="1"/>
  <c r="X145" i="4"/>
  <c r="X213" i="4" s="1"/>
  <c r="X215" i="4" s="1"/>
  <c r="X259" i="4" s="1"/>
  <c r="Y145" i="4"/>
  <c r="Y213" i="4" s="1"/>
  <c r="Y215" i="4" s="1"/>
  <c r="Y259" i="4" s="1"/>
  <c r="I145" i="4"/>
  <c r="L145" i="4"/>
  <c r="L213" i="4" s="1"/>
  <c r="L215" i="4" s="1"/>
  <c r="L259" i="4" s="1"/>
  <c r="AB145" i="4"/>
  <c r="AB213" i="4" s="1"/>
  <c r="AB215" i="4" s="1"/>
  <c r="AB259" i="4" s="1"/>
  <c r="AJ145" i="4"/>
  <c r="AJ213" i="4" s="1"/>
  <c r="AJ215" i="4" s="1"/>
  <c r="AJ259" i="4" s="1"/>
  <c r="M145" i="4"/>
  <c r="M213" i="4" s="1"/>
  <c r="M215" i="4" s="1"/>
  <c r="M259" i="4" s="1"/>
  <c r="U145" i="4"/>
  <c r="U213" i="4" s="1"/>
  <c r="U215" i="4" s="1"/>
  <c r="U259" i="4" s="1"/>
  <c r="AC145" i="4"/>
  <c r="AC213" i="4" s="1"/>
  <c r="AC215" i="4" s="1"/>
  <c r="AC259" i="4" s="1"/>
  <c r="AK145" i="4"/>
  <c r="AK213" i="4" s="1"/>
  <c r="AK215" i="4" s="1"/>
  <c r="AK259" i="4" s="1"/>
  <c r="Q71" i="4"/>
  <c r="X71" i="4"/>
  <c r="M71" i="4"/>
  <c r="AC71" i="4"/>
  <c r="M72" i="4"/>
  <c r="N72" i="4"/>
  <c r="AD72" i="4"/>
  <c r="O71" i="4"/>
  <c r="W71" i="4"/>
  <c r="AE71" i="4"/>
  <c r="AM71" i="4"/>
  <c r="K71" i="4"/>
  <c r="S71" i="4"/>
  <c r="AA71" i="4"/>
  <c r="AI71" i="4"/>
  <c r="AQ71" i="4"/>
  <c r="AC72" i="4"/>
  <c r="Y71" i="4"/>
  <c r="AO71" i="4"/>
  <c r="P71" i="4"/>
  <c r="AF71" i="4"/>
  <c r="U71" i="4"/>
  <c r="AK71" i="4"/>
  <c r="V72" i="4"/>
  <c r="AL72" i="4"/>
  <c r="U72" i="4"/>
  <c r="P72" i="4"/>
  <c r="X72" i="4"/>
  <c r="AF72" i="4"/>
  <c r="L71" i="4"/>
  <c r="T71" i="4"/>
  <c r="AB71" i="4"/>
  <c r="AJ71" i="4"/>
  <c r="Q72" i="4"/>
  <c r="Y72" i="4"/>
  <c r="AG72" i="4"/>
  <c r="J72" i="4"/>
  <c r="R72" i="4"/>
  <c r="Z72" i="4"/>
  <c r="AH72" i="4"/>
  <c r="AP72" i="4"/>
  <c r="I71" i="4"/>
  <c r="N71" i="4"/>
  <c r="V71" i="4"/>
  <c r="AD71" i="4"/>
  <c r="AL71" i="4"/>
  <c r="K72" i="4"/>
  <c r="S72" i="4"/>
  <c r="AA72" i="4"/>
  <c r="AI72" i="4"/>
  <c r="AQ72" i="4"/>
  <c r="I72" i="4"/>
  <c r="L72" i="4"/>
  <c r="T72" i="4"/>
  <c r="AB72" i="4"/>
  <c r="AJ72" i="4"/>
  <c r="J71" i="4"/>
  <c r="R71" i="4"/>
  <c r="Z71" i="4"/>
  <c r="AH71" i="4"/>
  <c r="AP71" i="4"/>
  <c r="O72" i="4"/>
  <c r="W72" i="4"/>
  <c r="AE72" i="4"/>
  <c r="AM72" i="4"/>
  <c r="K66" i="4"/>
  <c r="BE113" i="3"/>
  <c r="BM113" i="3"/>
  <c r="BB113" i="3"/>
  <c r="BJ113" i="3"/>
  <c r="L58" i="4"/>
  <c r="T58" i="4"/>
  <c r="AB58" i="4"/>
  <c r="AV96" i="3"/>
  <c r="AV32" i="4" s="1"/>
  <c r="AV29" i="4"/>
  <c r="BD96" i="3"/>
  <c r="BD32" i="4" s="1"/>
  <c r="BD29" i="4"/>
  <c r="BL96" i="3"/>
  <c r="BL32" i="4" s="1"/>
  <c r="BL29" i="4"/>
  <c r="BE29" i="4"/>
  <c r="BP71" i="3"/>
  <c r="BP70" i="3" s="1"/>
  <c r="BP31" i="4" s="1"/>
  <c r="BH29" i="4"/>
  <c r="I58" i="4"/>
  <c r="Y58" i="4"/>
  <c r="BA29" i="4"/>
  <c r="AZ32" i="4"/>
  <c r="BP32" i="4"/>
  <c r="J58" i="4"/>
  <c r="Z58" i="4"/>
  <c r="AP58" i="4"/>
  <c r="BA69" i="3"/>
  <c r="K58" i="4"/>
  <c r="S58" i="4"/>
  <c r="AA58" i="4"/>
  <c r="AI58" i="4"/>
  <c r="AQ58" i="4"/>
  <c r="BM29" i="4"/>
  <c r="AZ29" i="4"/>
  <c r="BP29" i="4"/>
  <c r="Q58" i="4"/>
  <c r="AG58" i="4"/>
  <c r="AS29" i="4"/>
  <c r="BI29" i="4"/>
  <c r="R58" i="4"/>
  <c r="AH58" i="4"/>
  <c r="BC96" i="3"/>
  <c r="BC32" i="4" s="1"/>
  <c r="AJ58" i="4"/>
  <c r="AW29" i="4"/>
  <c r="BN71" i="3"/>
  <c r="BN70" i="3" s="1"/>
  <c r="BN75" i="3" s="1"/>
  <c r="BN55" i="4" s="1"/>
  <c r="BO71" i="3"/>
  <c r="BO70" i="3" s="1"/>
  <c r="BO75" i="3" s="1"/>
  <c r="BO55" i="4" s="1"/>
  <c r="AY29" i="4"/>
  <c r="AY34" i="4" s="1"/>
  <c r="BG29" i="4"/>
  <c r="BO29" i="4"/>
  <c r="O58" i="4"/>
  <c r="W58" i="4"/>
  <c r="AE58" i="4"/>
  <c r="AM58" i="4"/>
  <c r="U58" i="4"/>
  <c r="AK58" i="4"/>
  <c r="N58" i="4"/>
  <c r="AD58" i="4"/>
  <c r="M58" i="4"/>
  <c r="AC58" i="4"/>
  <c r="V58" i="4"/>
  <c r="AL58" i="4"/>
  <c r="X58" i="4"/>
  <c r="AN58" i="4"/>
  <c r="P58" i="4"/>
  <c r="AF58" i="4"/>
  <c r="Q34" i="4"/>
  <c r="AG34" i="4"/>
  <c r="N34" i="4"/>
  <c r="J34" i="4"/>
  <c r="AH34" i="4"/>
  <c r="W34" i="4"/>
  <c r="P34" i="4"/>
  <c r="X34" i="4"/>
  <c r="AF34" i="4"/>
  <c r="AN34" i="4"/>
  <c r="M34" i="4"/>
  <c r="U34" i="4"/>
  <c r="AC34" i="4"/>
  <c r="AK34" i="4"/>
  <c r="AD34" i="4"/>
  <c r="Z34" i="4"/>
  <c r="O34" i="4"/>
  <c r="AM34" i="4"/>
  <c r="K34" i="4"/>
  <c r="S34" i="4"/>
  <c r="AI34" i="4"/>
  <c r="AQ34" i="4"/>
  <c r="L34" i="4"/>
  <c r="AB34" i="4"/>
  <c r="AR34" i="4"/>
  <c r="Y34" i="4"/>
  <c r="V34" i="4"/>
  <c r="AL34" i="4"/>
  <c r="R34" i="4"/>
  <c r="AP34" i="4"/>
  <c r="AE34" i="4"/>
  <c r="AA34" i="4"/>
  <c r="I34" i="4"/>
  <c r="T34" i="4"/>
  <c r="AJ34" i="4"/>
  <c r="AX113" i="3"/>
  <c r="BH113" i="3"/>
  <c r="BP113" i="3"/>
  <c r="BG113" i="3"/>
  <c r="BO113" i="3"/>
  <c r="AW101" i="3"/>
  <c r="BA113" i="3"/>
  <c r="BI113" i="3"/>
  <c r="AZ69" i="3"/>
  <c r="AY101" i="3"/>
  <c r="BG101" i="3"/>
  <c r="BO101" i="3"/>
  <c r="BC113" i="3"/>
  <c r="BK113" i="3"/>
  <c r="BE101" i="3"/>
  <c r="BJ69" i="3"/>
  <c r="AS101" i="3"/>
  <c r="BI101" i="3"/>
  <c r="AR101" i="3"/>
  <c r="AR56" i="4" s="1"/>
  <c r="AR58" i="4" s="1"/>
  <c r="BM101" i="3"/>
  <c r="BB71" i="3"/>
  <c r="BB70" i="3" s="1"/>
  <c r="BB75" i="3" s="1"/>
  <c r="BB55" i="4" s="1"/>
  <c r="BF71" i="3"/>
  <c r="BF70" i="3" s="1"/>
  <c r="BF75" i="3" s="1"/>
  <c r="BF55" i="4" s="1"/>
  <c r="BB96" i="3"/>
  <c r="BJ96" i="3"/>
  <c r="BA101" i="3"/>
  <c r="AY76" i="3"/>
  <c r="BG71" i="3"/>
  <c r="BG70" i="3" s="1"/>
  <c r="BG75" i="3" s="1"/>
  <c r="BG55" i="4" s="1"/>
  <c r="BK96" i="3"/>
  <c r="BF69" i="3"/>
  <c r="BF30" i="4" s="1"/>
  <c r="AT71" i="3"/>
  <c r="AT70" i="3" s="1"/>
  <c r="AT75" i="3" s="1"/>
  <c r="AT55" i="4" s="1"/>
  <c r="BH71" i="3"/>
  <c r="BH70" i="3" s="1"/>
  <c r="BH75" i="3" s="1"/>
  <c r="BH55" i="4" s="1"/>
  <c r="AT96" i="3"/>
  <c r="AS69" i="3"/>
  <c r="BG69" i="3"/>
  <c r="BG30" i="4" s="1"/>
  <c r="AX71" i="3"/>
  <c r="AX70" i="3" s="1"/>
  <c r="AX75" i="3" s="1"/>
  <c r="AX55" i="4" s="1"/>
  <c r="BI71" i="3"/>
  <c r="BI70" i="3" s="1"/>
  <c r="BI31" i="4" s="1"/>
  <c r="AU96" i="3"/>
  <c r="AU69" i="3"/>
  <c r="BC69" i="3"/>
  <c r="BK69" i="3"/>
  <c r="AV69" i="3"/>
  <c r="BD69" i="3"/>
  <c r="BL69" i="3"/>
  <c r="AX96" i="3"/>
  <c r="BF96" i="3"/>
  <c r="BN96" i="3"/>
  <c r="AW69" i="3"/>
  <c r="BE69" i="3"/>
  <c r="BM69" i="3"/>
  <c r="AK62" i="4" l="1" a="1"/>
  <c r="AK62" i="4" s="1"/>
  <c r="AN145" i="4"/>
  <c r="AN213" i="4" s="1"/>
  <c r="AN215" i="4" s="1"/>
  <c r="AN259" i="4" s="1"/>
  <c r="AO34" i="4"/>
  <c r="AN72" i="4"/>
  <c r="AN71" i="4"/>
  <c r="AO72" i="4"/>
  <c r="AG71" i="4"/>
  <c r="AK72" i="4"/>
  <c r="AH145" i="4"/>
  <c r="AH213" i="4" s="1"/>
  <c r="AH215" i="4" s="1"/>
  <c r="AH259" i="4" s="1"/>
  <c r="BE76" i="3"/>
  <c r="BE30" i="4"/>
  <c r="BD76" i="3"/>
  <c r="BD30" i="4"/>
  <c r="BK76" i="3"/>
  <c r="BK30" i="4"/>
  <c r="AU76" i="3"/>
  <c r="AU30" i="4"/>
  <c r="BJ76" i="3"/>
  <c r="BJ30" i="4"/>
  <c r="AY56" i="4"/>
  <c r="AY58" i="4" s="1"/>
  <c r="BA76" i="3"/>
  <c r="BA30" i="4"/>
  <c r="BH31" i="4"/>
  <c r="BO32" i="4"/>
  <c r="BG32" i="4"/>
  <c r="BM76" i="3"/>
  <c r="BM56" i="4" s="1"/>
  <c r="BM30" i="4"/>
  <c r="AW76" i="3"/>
  <c r="AW56" i="4" s="1"/>
  <c r="AW30" i="4"/>
  <c r="BL76" i="3"/>
  <c r="BL30" i="4"/>
  <c r="AV76" i="3"/>
  <c r="AV30" i="4"/>
  <c r="BC76" i="3"/>
  <c r="BC30" i="4"/>
  <c r="AS76" i="3"/>
  <c r="AS30" i="4"/>
  <c r="BA56" i="4"/>
  <c r="BA72" i="4" s="1"/>
  <c r="AS56" i="4"/>
  <c r="AS72" i="4" s="1"/>
  <c r="BE56" i="4"/>
  <c r="BE58" i="4" s="1"/>
  <c r="AZ76" i="3"/>
  <c r="AZ30" i="4"/>
  <c r="AZ34" i="4" s="1"/>
  <c r="AW34" i="4"/>
  <c r="BH32" i="4"/>
  <c r="AS34" i="4"/>
  <c r="AZ56" i="4"/>
  <c r="AZ58" i="4" s="1"/>
  <c r="BN31" i="4"/>
  <c r="BF31" i="4"/>
  <c r="BB31" i="4"/>
  <c r="AX31" i="4"/>
  <c r="AT31" i="4"/>
  <c r="BI32" i="4"/>
  <c r="BI34" i="4" s="1"/>
  <c r="BO31" i="4"/>
  <c r="BG31" i="4"/>
  <c r="AR62" i="4" a="1"/>
  <c r="AR62" i="4" s="1"/>
  <c r="BD101" i="3"/>
  <c r="BD56" i="4" s="1"/>
  <c r="BD58" i="4" s="1"/>
  <c r="I147" i="4"/>
  <c r="J144" i="4" s="1"/>
  <c r="J147" i="4" s="1"/>
  <c r="I213" i="4"/>
  <c r="I215" i="4" s="1"/>
  <c r="I259" i="4" s="1"/>
  <c r="BC101" i="3"/>
  <c r="BC56" i="4" s="1"/>
  <c r="AR145" i="4"/>
  <c r="AR213" i="4" s="1"/>
  <c r="AR215" i="4" s="1"/>
  <c r="AR259" i="4" s="1"/>
  <c r="BC34" i="4"/>
  <c r="AZ71" i="4"/>
  <c r="BN76" i="3"/>
  <c r="BO76" i="3"/>
  <c r="BO56" i="4" s="1"/>
  <c r="AS58" i="4"/>
  <c r="AR72" i="4"/>
  <c r="BA58" i="4"/>
  <c r="AR71" i="4"/>
  <c r="L66" i="4"/>
  <c r="BD34" i="4"/>
  <c r="AV34" i="4"/>
  <c r="AV101" i="3"/>
  <c r="AV56" i="4" s="1"/>
  <c r="AV62" i="4" s="1" a="1"/>
  <c r="BE34" i="4"/>
  <c r="BP34" i="4"/>
  <c r="BN101" i="3"/>
  <c r="BN56" i="4" s="1"/>
  <c r="BN32" i="4"/>
  <c r="BJ101" i="3"/>
  <c r="BJ56" i="4" s="1"/>
  <c r="BJ32" i="4"/>
  <c r="BA34" i="4"/>
  <c r="BP75" i="3"/>
  <c r="AT101" i="3"/>
  <c r="AT32" i="4"/>
  <c r="BL34" i="4"/>
  <c r="BF101" i="3"/>
  <c r="BF32" i="4"/>
  <c r="AU101" i="3"/>
  <c r="AU56" i="4" s="1"/>
  <c r="AU32" i="4"/>
  <c r="BM34" i="4"/>
  <c r="AX101" i="3"/>
  <c r="AX32" i="4"/>
  <c r="BI75" i="3"/>
  <c r="BB101" i="3"/>
  <c r="BB32" i="4"/>
  <c r="BK101" i="3"/>
  <c r="BK56" i="4" s="1"/>
  <c r="BK32" i="4"/>
  <c r="BL101" i="3"/>
  <c r="BL56" i="4" s="1"/>
  <c r="BL62" i="4" s="1" a="1"/>
  <c r="BL62" i="4" s="1"/>
  <c r="BG76" i="3"/>
  <c r="BG56" i="4" s="1"/>
  <c r="BF76" i="3"/>
  <c r="BH76" i="3"/>
  <c r="BH56" i="4" s="1"/>
  <c r="BB76" i="3"/>
  <c r="AT76" i="3"/>
  <c r="AX76" i="3"/>
  <c r="AV62" i="4" l="1"/>
  <c r="BA71" i="4"/>
  <c r="BE72" i="4"/>
  <c r="AY71" i="4"/>
  <c r="BH34" i="4"/>
  <c r="AZ72" i="4"/>
  <c r="AZ145" i="4"/>
  <c r="AZ213" i="4" s="1"/>
  <c r="AZ215" i="4" s="1"/>
  <c r="AZ259" i="4" s="1"/>
  <c r="AZ62" i="4" a="1"/>
  <c r="AZ62" i="4" s="1"/>
  <c r="BA62" i="4" a="1"/>
  <c r="BA62" i="4" s="1"/>
  <c r="BE71" i="4"/>
  <c r="AY72" i="4"/>
  <c r="BA145" i="4"/>
  <c r="BA213" i="4" s="1"/>
  <c r="BA215" i="4" s="1"/>
  <c r="BA259" i="4" s="1"/>
  <c r="AY62" i="4" a="1"/>
  <c r="AY62" i="4" s="1"/>
  <c r="BE62" i="4" a="1"/>
  <c r="BE62" i="4" s="1"/>
  <c r="BO34" i="4"/>
  <c r="AS62" i="4" a="1"/>
  <c r="AS71" i="4"/>
  <c r="AS62" i="4"/>
  <c r="AS145" i="4"/>
  <c r="AS213" i="4" s="1"/>
  <c r="AS215" i="4" s="1"/>
  <c r="AS259" i="4" s="1"/>
  <c r="BC62" i="4" a="1"/>
  <c r="BC62" i="4" s="1"/>
  <c r="BG34" i="4"/>
  <c r="BG58" i="4"/>
  <c r="BG72" i="4"/>
  <c r="BG71" i="4"/>
  <c r="BG62" i="4" a="1"/>
  <c r="BG62" i="4" s="1"/>
  <c r="BO58" i="4"/>
  <c r="BO62" i="4" a="1"/>
  <c r="BO62" i="4" s="1"/>
  <c r="BO72" i="4"/>
  <c r="BO71" i="4"/>
  <c r="BH58" i="4"/>
  <c r="BH72" i="4"/>
  <c r="BH62" i="4" a="1"/>
  <c r="BH62" i="4" s="1"/>
  <c r="BH71" i="4"/>
  <c r="AW58" i="4"/>
  <c r="AW62" i="4" a="1"/>
  <c r="AW62" i="4" s="1"/>
  <c r="AW72" i="4"/>
  <c r="AW71" i="4"/>
  <c r="BM58" i="4"/>
  <c r="BM62" i="4" a="1"/>
  <c r="BM62" i="4" s="1"/>
  <c r="BM72" i="4"/>
  <c r="BM71" i="4"/>
  <c r="BI76" i="3"/>
  <c r="BI56" i="4" s="1"/>
  <c r="BI55" i="4"/>
  <c r="AX56" i="4"/>
  <c r="AX145" i="4" s="1"/>
  <c r="AX213" i="4" s="1"/>
  <c r="AX215" i="4" s="1"/>
  <c r="AX259" i="4" s="1"/>
  <c r="AT56" i="4"/>
  <c r="AT62" i="4" s="1" a="1"/>
  <c r="AT62" i="4" s="1"/>
  <c r="BB56" i="4"/>
  <c r="BC145" i="4" s="1"/>
  <c r="BC213" i="4" s="1"/>
  <c r="BC215" i="4" s="1"/>
  <c r="BC259" i="4" s="1"/>
  <c r="BF56" i="4"/>
  <c r="BG145" i="4" s="1"/>
  <c r="BG213" i="4" s="1"/>
  <c r="BG215" i="4" s="1"/>
  <c r="BG259" i="4" s="1"/>
  <c r="BP76" i="3"/>
  <c r="BP56" i="4" s="1"/>
  <c r="BP55" i="4"/>
  <c r="BH145" i="4"/>
  <c r="BH213" i="4" s="1"/>
  <c r="BH215" i="4" s="1"/>
  <c r="BH259" i="4" s="1"/>
  <c r="BD71" i="4"/>
  <c r="BJ62" i="4" a="1"/>
  <c r="BJ62" i="4" s="1"/>
  <c r="BD72" i="4"/>
  <c r="BE145" i="4"/>
  <c r="BE213" i="4" s="1"/>
  <c r="BE215" i="4" s="1"/>
  <c r="BE259" i="4" s="1"/>
  <c r="BN62" i="4" a="1"/>
  <c r="BN62" i="4" s="1"/>
  <c r="BK62" i="4" a="1"/>
  <c r="BK62" i="4" s="1"/>
  <c r="AU62" i="4" a="1"/>
  <c r="AU62" i="4" s="1"/>
  <c r="BD62" i="4" a="1"/>
  <c r="BD62" i="4" s="1"/>
  <c r="AW145" i="4"/>
  <c r="AW213" i="4" s="1"/>
  <c r="AW215" i="4" s="1"/>
  <c r="AW259" i="4" s="1"/>
  <c r="BC58" i="4"/>
  <c r="I104" i="4"/>
  <c r="BC71" i="4"/>
  <c r="BC72" i="4"/>
  <c r="BD145" i="4"/>
  <c r="BD213" i="4" s="1"/>
  <c r="BD215" i="4" s="1"/>
  <c r="BD259" i="4" s="1"/>
  <c r="BL145" i="4"/>
  <c r="BL213" i="4" s="1"/>
  <c r="BL215" i="4" s="1"/>
  <c r="BL259" i="4" s="1"/>
  <c r="BN145" i="4"/>
  <c r="BN213" i="4" s="1"/>
  <c r="BN215" i="4" s="1"/>
  <c r="BN259" i="4" s="1"/>
  <c r="K144" i="4"/>
  <c r="K147" i="4" s="1"/>
  <c r="J104" i="4"/>
  <c r="AV145" i="4"/>
  <c r="AV213" i="4" s="1"/>
  <c r="AV215" i="4" s="1"/>
  <c r="AV259" i="4" s="1"/>
  <c r="BM145" i="4"/>
  <c r="BM213" i="4" s="1"/>
  <c r="BM215" i="4" s="1"/>
  <c r="BM259" i="4" s="1"/>
  <c r="BK145" i="4"/>
  <c r="BK213" i="4" s="1"/>
  <c r="BK215" i="4" s="1"/>
  <c r="BK259" i="4" s="1"/>
  <c r="BO145" i="4"/>
  <c r="BO213" i="4" s="1"/>
  <c r="BO215" i="4" s="1"/>
  <c r="BO259" i="4" s="1"/>
  <c r="BK58" i="4"/>
  <c r="BK71" i="4"/>
  <c r="BK72" i="4"/>
  <c r="AU58" i="4"/>
  <c r="AU71" i="4"/>
  <c r="AU72" i="4"/>
  <c r="BJ58" i="4"/>
  <c r="BJ72" i="4"/>
  <c r="BJ71" i="4"/>
  <c r="BF58" i="4"/>
  <c r="BN58" i="4"/>
  <c r="BN72" i="4"/>
  <c r="BN71" i="4"/>
  <c r="AV58" i="4"/>
  <c r="AV71" i="4"/>
  <c r="AV72" i="4"/>
  <c r="BL58" i="4"/>
  <c r="BL72" i="4"/>
  <c r="BL71" i="4"/>
  <c r="AX72" i="4"/>
  <c r="AT58" i="4"/>
  <c r="AT72" i="4"/>
  <c r="M66" i="4"/>
  <c r="AX34" i="4"/>
  <c r="AT34" i="4"/>
  <c r="BN34" i="4"/>
  <c r="BB34" i="4"/>
  <c r="BK34" i="4"/>
  <c r="AU34" i="4"/>
  <c r="BF34" i="4"/>
  <c r="BJ34" i="4"/>
  <c r="AU145" i="4" l="1"/>
  <c r="AU213" i="4" s="1"/>
  <c r="AU215" i="4" s="1"/>
  <c r="AU259" i="4" s="1"/>
  <c r="BB72" i="4"/>
  <c r="BB145" i="4"/>
  <c r="BB213" i="4" s="1"/>
  <c r="BB215" i="4" s="1"/>
  <c r="BB259" i="4" s="1"/>
  <c r="AX62" i="4" a="1"/>
  <c r="BJ145" i="4"/>
  <c r="BJ213" i="4" s="1"/>
  <c r="BJ215" i="4" s="1"/>
  <c r="BJ259" i="4" s="1"/>
  <c r="AX58" i="4"/>
  <c r="AY145" i="4"/>
  <c r="AY213" i="4" s="1"/>
  <c r="AY215" i="4" s="1"/>
  <c r="AY259" i="4" s="1"/>
  <c r="BB62" i="4" a="1"/>
  <c r="BB62" i="4" s="1"/>
  <c r="BF72" i="4"/>
  <c r="AT71" i="4"/>
  <c r="BF71" i="4"/>
  <c r="AT145" i="4"/>
  <c r="AT213" i="4" s="1"/>
  <c r="AT215" i="4" s="1"/>
  <c r="AT259" i="4" s="1"/>
  <c r="BF145" i="4"/>
  <c r="BF213" i="4" s="1"/>
  <c r="BF215" i="4" s="1"/>
  <c r="BF259" i="4" s="1"/>
  <c r="BI145" i="4"/>
  <c r="BI213" i="4" s="1"/>
  <c r="BI215" i="4" s="1"/>
  <c r="BI259" i="4" s="1"/>
  <c r="AX71" i="4"/>
  <c r="BB71" i="4"/>
  <c r="BB58" i="4"/>
  <c r="AX62" i="4"/>
  <c r="BF62" i="4" a="1"/>
  <c r="BF62" i="4" s="1"/>
  <c r="BP62" i="4" a="1"/>
  <c r="BP62" i="4" s="1"/>
  <c r="BP71" i="4"/>
  <c r="BP145" i="4"/>
  <c r="BP213" i="4" s="1"/>
  <c r="BP215" i="4" s="1"/>
  <c r="BP259" i="4" s="1"/>
  <c r="BP72" i="4"/>
  <c r="BI72" i="4"/>
  <c r="BI71" i="4"/>
  <c r="BI62" i="4" a="1"/>
  <c r="BI62" i="4" s="1"/>
  <c r="BI58" i="4"/>
  <c r="BP58" i="4"/>
  <c r="L144" i="4"/>
  <c r="L147" i="4" s="1"/>
  <c r="K104" i="4"/>
  <c r="N66" i="4"/>
  <c r="M144" i="4" l="1"/>
  <c r="M147" i="4" s="1"/>
  <c r="L104" i="4"/>
  <c r="O66" i="4"/>
  <c r="N144" i="4" l="1"/>
  <c r="N147" i="4" s="1"/>
  <c r="M104" i="4"/>
  <c r="P66" i="4"/>
  <c r="O144" i="4" l="1"/>
  <c r="O147" i="4" s="1"/>
  <c r="N104" i="4"/>
  <c r="Q66" i="4"/>
  <c r="P144" i="4" l="1"/>
  <c r="P147" i="4" s="1"/>
  <c r="O104" i="4"/>
  <c r="R66" i="4"/>
  <c r="Q144" i="4" l="1"/>
  <c r="Q147" i="4" s="1"/>
  <c r="P104" i="4"/>
  <c r="S66" i="4"/>
  <c r="R144" i="4" l="1"/>
  <c r="R147" i="4" s="1"/>
  <c r="Q104" i="4"/>
  <c r="T66" i="4"/>
  <c r="S144" i="4" l="1"/>
  <c r="S147" i="4" s="1"/>
  <c r="R104" i="4"/>
  <c r="U66" i="4"/>
  <c r="T144" i="4" l="1"/>
  <c r="T147" i="4" s="1"/>
  <c r="S104" i="4"/>
  <c r="V66" i="4"/>
  <c r="U144" i="4" l="1"/>
  <c r="U147" i="4" s="1"/>
  <c r="T104" i="4"/>
  <c r="W66" i="4"/>
  <c r="V144" i="4" l="1"/>
  <c r="V147" i="4" s="1"/>
  <c r="U104" i="4"/>
  <c r="X66" i="4"/>
  <c r="W144" i="4" l="1"/>
  <c r="W147" i="4" s="1"/>
  <c r="V104" i="4"/>
  <c r="Y66" i="4"/>
  <c r="X144" i="4" l="1"/>
  <c r="X147" i="4" s="1"/>
  <c r="W104" i="4"/>
  <c r="Z66" i="4"/>
  <c r="Y144" i="4" l="1"/>
  <c r="Y147" i="4" s="1"/>
  <c r="X104" i="4"/>
  <c r="AA66" i="4"/>
  <c r="Z144" i="4" l="1"/>
  <c r="Z147" i="4" s="1"/>
  <c r="Y104" i="4"/>
  <c r="AB66" i="4"/>
  <c r="AA144" i="4" l="1"/>
  <c r="AA147" i="4" s="1"/>
  <c r="Z104" i="4"/>
  <c r="AC66" i="4"/>
  <c r="AB144" i="4" l="1"/>
  <c r="AB147" i="4" s="1"/>
  <c r="AA104" i="4"/>
  <c r="AD66" i="4"/>
  <c r="AC144" i="4" l="1"/>
  <c r="AC147" i="4" s="1"/>
  <c r="AB104" i="4"/>
  <c r="AE66" i="4"/>
  <c r="AD144" i="4" l="1"/>
  <c r="AD147" i="4" s="1"/>
  <c r="AC104" i="4"/>
  <c r="AF66" i="4"/>
  <c r="AE144" i="4" l="1"/>
  <c r="AE147" i="4" s="1"/>
  <c r="AD104" i="4"/>
  <c r="AG66" i="4"/>
  <c r="AF144" i="4" l="1"/>
  <c r="AF147" i="4" s="1"/>
  <c r="AE104" i="4"/>
  <c r="AH66" i="4"/>
  <c r="AG144" i="4" l="1"/>
  <c r="AG147" i="4" s="1"/>
  <c r="AF104" i="4"/>
  <c r="AI66" i="4"/>
  <c r="AH144" i="4" l="1"/>
  <c r="AH147" i="4" s="1"/>
  <c r="AG104" i="4"/>
  <c r="AJ66" i="4"/>
  <c r="AI144" i="4" l="1"/>
  <c r="AI147" i="4" s="1"/>
  <c r="AH104" i="4"/>
  <c r="AK66" i="4"/>
  <c r="AJ144" i="4" l="1"/>
  <c r="AJ147" i="4" s="1"/>
  <c r="AI104" i="4"/>
  <c r="AL66" i="4"/>
  <c r="AK144" i="4" l="1"/>
  <c r="AK147" i="4" s="1"/>
  <c r="AJ104" i="4"/>
  <c r="AM66" i="4"/>
  <c r="AL144" i="4" l="1"/>
  <c r="AL147" i="4" s="1"/>
  <c r="AK104" i="4"/>
  <c r="AN66" i="4"/>
  <c r="AM144" i="4" l="1"/>
  <c r="AM147" i="4" s="1"/>
  <c r="AL104" i="4"/>
  <c r="AO66" i="4"/>
  <c r="AN144" i="4" l="1"/>
  <c r="AN147" i="4" s="1"/>
  <c r="AM104" i="4"/>
  <c r="AP66" i="4"/>
  <c r="AO144" i="4" l="1"/>
  <c r="AO147" i="4" s="1"/>
  <c r="AN104" i="4"/>
  <c r="AQ66" i="4"/>
  <c r="AP144" i="4" l="1"/>
  <c r="AP147" i="4" s="1"/>
  <c r="AO104" i="4"/>
  <c r="AR66" i="4"/>
  <c r="AQ144" i="4" l="1"/>
  <c r="AQ147" i="4" s="1"/>
  <c r="AP104" i="4"/>
  <c r="AS66" i="4"/>
  <c r="AR144" i="4" l="1"/>
  <c r="AR147" i="4" s="1"/>
  <c r="AQ104" i="4"/>
  <c r="AT66" i="4"/>
  <c r="AS144" i="4" l="1"/>
  <c r="AS147" i="4" s="1"/>
  <c r="AR104" i="4"/>
  <c r="AU66" i="4"/>
  <c r="AT144" i="4" l="1"/>
  <c r="AT147" i="4" s="1"/>
  <c r="AS104" i="4"/>
  <c r="AV66" i="4"/>
  <c r="AU144" i="4" l="1"/>
  <c r="AU147" i="4" s="1"/>
  <c r="AT104" i="4"/>
  <c r="AW66" i="4"/>
  <c r="AV144" i="4" l="1"/>
  <c r="AV147" i="4" s="1"/>
  <c r="AU104" i="4"/>
  <c r="AX66" i="4"/>
  <c r="AW144" i="4" l="1"/>
  <c r="AW147" i="4" s="1"/>
  <c r="AV104" i="4"/>
  <c r="AY66" i="4"/>
  <c r="AX144" i="4" l="1"/>
  <c r="AX147" i="4" s="1"/>
  <c r="AW104" i="4"/>
  <c r="AZ66" i="4"/>
  <c r="AY144" i="4" l="1"/>
  <c r="AY147" i="4" s="1"/>
  <c r="AX104" i="4"/>
  <c r="BA66" i="4"/>
  <c r="AZ144" i="4" l="1"/>
  <c r="AZ147" i="4" s="1"/>
  <c r="AY104" i="4"/>
  <c r="BB66" i="4"/>
  <c r="BA144" i="4" l="1"/>
  <c r="BA147" i="4" s="1"/>
  <c r="AZ104" i="4"/>
  <c r="BC66" i="4"/>
  <c r="BB144" i="4" l="1"/>
  <c r="BB147" i="4" s="1"/>
  <c r="BA104" i="4"/>
  <c r="BD66" i="4"/>
  <c r="BC144" i="4" l="1"/>
  <c r="BC147" i="4" s="1"/>
  <c r="BB104" i="4"/>
  <c r="BE66" i="4"/>
  <c r="BD144" i="4" l="1"/>
  <c r="BD147" i="4" s="1"/>
  <c r="BC104" i="4"/>
  <c r="BF66" i="4"/>
  <c r="BE144" i="4" l="1"/>
  <c r="BE147" i="4" s="1"/>
  <c r="BD104" i="4"/>
  <c r="BG66" i="4"/>
  <c r="BF144" i="4" l="1"/>
  <c r="BF147" i="4" s="1"/>
  <c r="BE104" i="4"/>
  <c r="BH66" i="4"/>
  <c r="BG144" i="4" l="1"/>
  <c r="BG147" i="4" s="1"/>
  <c r="BF104" i="4"/>
  <c r="BI66" i="4"/>
  <c r="BH144" i="4" l="1"/>
  <c r="BH147" i="4" s="1"/>
  <c r="BG104" i="4"/>
  <c r="BJ66" i="4"/>
  <c r="BI144" i="4" l="1"/>
  <c r="BI147" i="4" s="1"/>
  <c r="BH104" i="4"/>
  <c r="BK66" i="4"/>
  <c r="BJ144" i="4" l="1"/>
  <c r="BJ147" i="4" s="1"/>
  <c r="BI104" i="4"/>
  <c r="BL66" i="4"/>
  <c r="BK144" i="4" l="1"/>
  <c r="BK147" i="4" s="1"/>
  <c r="BJ104" i="4"/>
  <c r="BM66" i="4"/>
  <c r="BL144" i="4" l="1"/>
  <c r="BL147" i="4" s="1"/>
  <c r="BK104" i="4"/>
  <c r="BN66" i="4"/>
  <c r="BM144" i="4" l="1"/>
  <c r="BM147" i="4" s="1"/>
  <c r="BL104" i="4"/>
  <c r="BO66" i="4"/>
  <c r="BN144" i="4" l="1"/>
  <c r="BN147" i="4" s="1"/>
  <c r="BM104" i="4"/>
  <c r="BP66" i="4"/>
  <c r="BO144" i="4" l="1"/>
  <c r="BO147" i="4" s="1"/>
  <c r="BN104" i="4"/>
  <c r="H45" i="3"/>
  <c r="H46" i="3"/>
  <c r="H47" i="3"/>
  <c r="H39" i="3"/>
  <c r="H40" i="3"/>
  <c r="H41" i="3"/>
  <c r="H42" i="3"/>
  <c r="H43" i="3"/>
  <c r="H44" i="3"/>
  <c r="H9" i="3"/>
  <c r="I60" i="3"/>
  <c r="I7" i="9" l="1"/>
  <c r="I58" i="3"/>
  <c r="J58" i="3" s="1"/>
  <c r="K58" i="3" s="1"/>
  <c r="L58" i="3" s="1"/>
  <c r="M58" i="3" s="1"/>
  <c r="N58" i="3" s="1"/>
  <c r="O58" i="3" s="1"/>
  <c r="P58" i="3" s="1"/>
  <c r="Q58" i="3" s="1"/>
  <c r="R58" i="3" s="1"/>
  <c r="S58" i="3" s="1"/>
  <c r="T58" i="3" s="1"/>
  <c r="U58" i="3" s="1"/>
  <c r="V58" i="3" s="1"/>
  <c r="W58" i="3" s="1"/>
  <c r="X58" i="3" s="1"/>
  <c r="Y58" i="3" s="1"/>
  <c r="Z58" i="3" s="1"/>
  <c r="AA58" i="3" s="1"/>
  <c r="AB58" i="3" s="1"/>
  <c r="AC58" i="3" s="1"/>
  <c r="AD58" i="3" s="1"/>
  <c r="AE58" i="3" s="1"/>
  <c r="AF58" i="3" s="1"/>
  <c r="AG58" i="3" s="1"/>
  <c r="AH58" i="3" s="1"/>
  <c r="AI58" i="3" s="1"/>
  <c r="AJ58" i="3" s="1"/>
  <c r="AK58" i="3" s="1"/>
  <c r="AL58" i="3" s="1"/>
  <c r="AM58" i="3" s="1"/>
  <c r="AN58" i="3" s="1"/>
  <c r="AO58" i="3" s="1"/>
  <c r="AP58" i="3" s="1"/>
  <c r="AQ58" i="3" s="1"/>
  <c r="AR58" i="3" s="1"/>
  <c r="AS58" i="3" s="1"/>
  <c r="AT58" i="3" s="1"/>
  <c r="AU58" i="3" s="1"/>
  <c r="AV58" i="3" s="1"/>
  <c r="AW58" i="3" s="1"/>
  <c r="AX58" i="3" s="1"/>
  <c r="AY58" i="3" s="1"/>
  <c r="AZ58" i="3" s="1"/>
  <c r="BA58" i="3" s="1"/>
  <c r="BB58" i="3" s="1"/>
  <c r="BC58" i="3" s="1"/>
  <c r="BD58" i="3" s="1"/>
  <c r="BE58" i="3" s="1"/>
  <c r="BF58" i="3" s="1"/>
  <c r="BG58" i="3" s="1"/>
  <c r="BH58" i="3" s="1"/>
  <c r="BI58" i="3" s="1"/>
  <c r="BJ58" i="3" s="1"/>
  <c r="BK58" i="3" s="1"/>
  <c r="BL58" i="3" s="1"/>
  <c r="BM58" i="3" s="1"/>
  <c r="BN58" i="3" s="1"/>
  <c r="BO58" i="3" s="1"/>
  <c r="BP58" i="3" s="1"/>
  <c r="H31" i="3"/>
  <c r="I5" i="9"/>
  <c r="I6" i="9" s="1"/>
  <c r="I59" i="3"/>
  <c r="H29" i="3"/>
  <c r="BP144" i="4"/>
  <c r="BP147" i="4" s="1"/>
  <c r="BP104" i="4" s="1"/>
  <c r="BO104" i="4"/>
  <c r="J60" i="3"/>
  <c r="J62" i="3" s="1"/>
  <c r="J8" i="4" s="1"/>
  <c r="I7" i="4"/>
  <c r="I62" i="3"/>
  <c r="I8" i="4" s="1"/>
  <c r="J7" i="9" l="1"/>
  <c r="J59" i="3"/>
  <c r="J61" i="3" s="1"/>
  <c r="I61" i="3"/>
  <c r="J5" i="9"/>
  <c r="I151" i="4"/>
  <c r="I81" i="4" s="1"/>
  <c r="I6" i="4"/>
  <c r="I67" i="4"/>
  <c r="I70" i="4"/>
  <c r="I68" i="4"/>
  <c r="J67" i="4"/>
  <c r="J68" i="4"/>
  <c r="J70" i="4"/>
  <c r="I11" i="4"/>
  <c r="I16" i="4" s="1"/>
  <c r="I38" i="4"/>
  <c r="I12" i="4"/>
  <c r="I20" i="4"/>
  <c r="I61" i="4"/>
  <c r="I63" i="4" s="1"/>
  <c r="J20" i="4"/>
  <c r="J61" i="4"/>
  <c r="J63" i="4" s="1"/>
  <c r="J12" i="4"/>
  <c r="J11" i="4"/>
  <c r="J38" i="4"/>
  <c r="K60" i="3"/>
  <c r="J7" i="4"/>
  <c r="K7" i="9" l="1"/>
  <c r="J6" i="4"/>
  <c r="J180" i="4" s="1"/>
  <c r="J221" i="4" s="1"/>
  <c r="K59" i="3"/>
  <c r="K61" i="3" s="1"/>
  <c r="K5" i="9"/>
  <c r="J6" i="9"/>
  <c r="J151" i="4"/>
  <c r="J81" i="4" s="1"/>
  <c r="I153" i="4"/>
  <c r="J150" i="4" s="1"/>
  <c r="I193" i="4"/>
  <c r="I219" i="4" s="1"/>
  <c r="I267" i="4" s="1"/>
  <c r="I180" i="4"/>
  <c r="I17" i="4"/>
  <c r="I18" i="4" s="1"/>
  <c r="L60" i="3"/>
  <c r="K7" i="4"/>
  <c r="K62" i="3"/>
  <c r="K8" i="4" s="1"/>
  <c r="L7" i="9" l="1"/>
  <c r="M7" i="9" s="1"/>
  <c r="J193" i="4"/>
  <c r="J219" i="4" s="1"/>
  <c r="J267" i="4" s="1"/>
  <c r="L59" i="3"/>
  <c r="L61" i="3" s="1"/>
  <c r="K6" i="4"/>
  <c r="L5" i="9"/>
  <c r="K6" i="9"/>
  <c r="I105" i="4"/>
  <c r="I106" i="4" s="1"/>
  <c r="I107" i="4" s="1"/>
  <c r="I188" i="4" s="1"/>
  <c r="I189" i="4" s="1"/>
  <c r="J153" i="4"/>
  <c r="K150" i="4" s="1"/>
  <c r="K151" i="4"/>
  <c r="K81" i="4" s="1"/>
  <c r="I195" i="4"/>
  <c r="J192" i="4" s="1"/>
  <c r="I184" i="4"/>
  <c r="I118" i="4" s="1"/>
  <c r="I221" i="4"/>
  <c r="K70" i="4"/>
  <c r="K67" i="4"/>
  <c r="K68" i="4"/>
  <c r="I22" i="4"/>
  <c r="J15" i="4"/>
  <c r="K11" i="4"/>
  <c r="K12" i="4"/>
  <c r="K61" i="4"/>
  <c r="K63" i="4" s="1"/>
  <c r="K20" i="4"/>
  <c r="K38" i="4"/>
  <c r="M60" i="3"/>
  <c r="L7" i="4"/>
  <c r="L62" i="3"/>
  <c r="L8" i="4" s="1"/>
  <c r="J195" i="4" l="1"/>
  <c r="J126" i="4" s="1"/>
  <c r="K193" i="4"/>
  <c r="K219" i="4" s="1"/>
  <c r="K267" i="4" s="1"/>
  <c r="L6" i="4"/>
  <c r="K180" i="4"/>
  <c r="K221" i="4" s="1"/>
  <c r="M59" i="3"/>
  <c r="M61" i="3" s="1"/>
  <c r="M5" i="9"/>
  <c r="M6" i="9" s="1"/>
  <c r="Q15" i="9" s="1"/>
  <c r="L6" i="9"/>
  <c r="J105" i="4"/>
  <c r="J106" i="4" s="1"/>
  <c r="J107" i="4" s="1"/>
  <c r="J188" i="4" s="1"/>
  <c r="J189" i="4" s="1"/>
  <c r="I252" i="4"/>
  <c r="K153" i="4"/>
  <c r="K105" i="4" s="1"/>
  <c r="L151" i="4"/>
  <c r="L81" i="4" s="1"/>
  <c r="I126" i="4"/>
  <c r="I251" i="4" s="1"/>
  <c r="I119" i="4"/>
  <c r="J179" i="4"/>
  <c r="J181" i="4" s="1"/>
  <c r="K192" i="4"/>
  <c r="I136" i="4"/>
  <c r="I137" i="4" s="1"/>
  <c r="L70" i="4"/>
  <c r="L67" i="4"/>
  <c r="L68" i="4"/>
  <c r="I39" i="4"/>
  <c r="I41" i="4" s="1"/>
  <c r="I43" i="4" s="1"/>
  <c r="I45" i="4" s="1"/>
  <c r="I69" i="4"/>
  <c r="N60" i="3"/>
  <c r="M7" i="4"/>
  <c r="M62" i="3"/>
  <c r="M8" i="4" s="1"/>
  <c r="L12" i="4"/>
  <c r="L11" i="4"/>
  <c r="L20" i="4"/>
  <c r="L38" i="4"/>
  <c r="L61" i="4"/>
  <c r="L63" i="4" s="1"/>
  <c r="J16" i="4"/>
  <c r="J17" i="4"/>
  <c r="K195" i="4" l="1"/>
  <c r="L192" i="4" s="1"/>
  <c r="L193" i="4"/>
  <c r="L219" i="4" s="1"/>
  <c r="L267" i="4" s="1"/>
  <c r="L180" i="4"/>
  <c r="L221" i="4" s="1"/>
  <c r="N59" i="3"/>
  <c r="N61" i="3" s="1"/>
  <c r="M6" i="4"/>
  <c r="M151" i="4"/>
  <c r="M81" i="4" s="1"/>
  <c r="L150" i="4"/>
  <c r="L153" i="4" s="1"/>
  <c r="L105" i="4" s="1"/>
  <c r="L106" i="4" s="1"/>
  <c r="L107" i="4" s="1"/>
  <c r="L188" i="4" s="1"/>
  <c r="L189" i="4" s="1"/>
  <c r="J138" i="4"/>
  <c r="K139" i="4"/>
  <c r="L140" i="4"/>
  <c r="I141" i="4"/>
  <c r="J182" i="4"/>
  <c r="J86" i="4" s="1"/>
  <c r="K126" i="4"/>
  <c r="K106" i="4"/>
  <c r="K107" i="4" s="1"/>
  <c r="K188" i="4" s="1"/>
  <c r="K189" i="4" s="1"/>
  <c r="M68" i="4"/>
  <c r="M70" i="4"/>
  <c r="M67" i="4"/>
  <c r="I47" i="4"/>
  <c r="I73" i="4"/>
  <c r="I75" i="4" s="1"/>
  <c r="I77" i="4" s="1"/>
  <c r="J18" i="4"/>
  <c r="K15" i="4" s="1"/>
  <c r="M12" i="4"/>
  <c r="M20" i="4"/>
  <c r="M11" i="4"/>
  <c r="M61" i="4"/>
  <c r="M63" i="4" s="1"/>
  <c r="M38" i="4"/>
  <c r="O60" i="3"/>
  <c r="N7" i="4"/>
  <c r="N62" i="3"/>
  <c r="N8" i="4" s="1"/>
  <c r="L195" i="4" l="1"/>
  <c r="M192" i="4" s="1"/>
  <c r="M193" i="4"/>
  <c r="M219" i="4" s="1"/>
  <c r="M267" i="4" s="1"/>
  <c r="N6" i="4"/>
  <c r="N180" i="4" s="1"/>
  <c r="N221" i="4" s="1"/>
  <c r="O59" i="3"/>
  <c r="O61" i="3" s="1"/>
  <c r="M180" i="4"/>
  <c r="M221" i="4" s="1"/>
  <c r="I244" i="4"/>
  <c r="N151" i="4"/>
  <c r="N81" i="4" s="1"/>
  <c r="M150" i="4"/>
  <c r="M153" i="4" s="1"/>
  <c r="N150" i="4" s="1"/>
  <c r="J135" i="4"/>
  <c r="I100" i="4"/>
  <c r="J218" i="4"/>
  <c r="J183" i="4"/>
  <c r="J222" i="4" s="1"/>
  <c r="I79" i="4"/>
  <c r="I165" i="4"/>
  <c r="N67" i="4"/>
  <c r="N70" i="4"/>
  <c r="N68" i="4"/>
  <c r="J22" i="4"/>
  <c r="K17" i="4"/>
  <c r="K16" i="4"/>
  <c r="N12" i="4"/>
  <c r="N61" i="4"/>
  <c r="N63" i="4" s="1"/>
  <c r="N11" i="4"/>
  <c r="N20" i="4"/>
  <c r="N38" i="4"/>
  <c r="P60" i="3"/>
  <c r="O7" i="4"/>
  <c r="O62" i="3"/>
  <c r="O8" i="4" s="1"/>
  <c r="L126" i="4" l="1"/>
  <c r="N193" i="4"/>
  <c r="N219" i="4" s="1"/>
  <c r="N267" i="4" s="1"/>
  <c r="M195" i="4"/>
  <c r="M126" i="4" s="1"/>
  <c r="O6" i="4"/>
  <c r="P59" i="3"/>
  <c r="P61" i="3" s="1"/>
  <c r="O151" i="4"/>
  <c r="O81" i="4" s="1"/>
  <c r="N153" i="4"/>
  <c r="N105" i="4" s="1"/>
  <c r="M105" i="4"/>
  <c r="M106" i="4" s="1"/>
  <c r="M107" i="4" s="1"/>
  <c r="M188" i="4" s="1"/>
  <c r="M189" i="4" s="1"/>
  <c r="L169" i="4"/>
  <c r="J167" i="4"/>
  <c r="K168" i="4"/>
  <c r="I166" i="4"/>
  <c r="I170" i="4" s="1"/>
  <c r="J184" i="4"/>
  <c r="K179" i="4" s="1"/>
  <c r="I83" i="4"/>
  <c r="I208" i="4"/>
  <c r="J136" i="4"/>
  <c r="O67" i="4"/>
  <c r="O68" i="4"/>
  <c r="O70" i="4"/>
  <c r="J39" i="4"/>
  <c r="J41" i="4" s="1"/>
  <c r="J43" i="4" s="1"/>
  <c r="J45" i="4" s="1"/>
  <c r="J69" i="4"/>
  <c r="K18" i="4"/>
  <c r="L15" i="4" s="1"/>
  <c r="O12" i="4"/>
  <c r="O20" i="4"/>
  <c r="O11" i="4"/>
  <c r="O61" i="4"/>
  <c r="O63" i="4" s="1"/>
  <c r="O38" i="4"/>
  <c r="Q60" i="3"/>
  <c r="P7" i="4"/>
  <c r="P62" i="3"/>
  <c r="P8" i="4" s="1"/>
  <c r="N192" i="4" l="1"/>
  <c r="N195" i="4" s="1"/>
  <c r="O192" i="4" s="1"/>
  <c r="O193" i="4"/>
  <c r="O219" i="4" s="1"/>
  <c r="O267" i="4" s="1"/>
  <c r="O180" i="4"/>
  <c r="O221" i="4" s="1"/>
  <c r="P6" i="4"/>
  <c r="P193" i="4" s="1"/>
  <c r="P219" i="4" s="1"/>
  <c r="P267" i="4" s="1"/>
  <c r="Q59" i="3"/>
  <c r="Q61" i="3" s="1"/>
  <c r="I250" i="4"/>
  <c r="O150" i="4"/>
  <c r="O153" i="4" s="1"/>
  <c r="P150" i="4" s="1"/>
  <c r="P151" i="4"/>
  <c r="P81" i="4" s="1"/>
  <c r="J164" i="4"/>
  <c r="J137" i="4"/>
  <c r="K138" i="4"/>
  <c r="L139" i="4"/>
  <c r="M140" i="4"/>
  <c r="I113" i="4"/>
  <c r="J118" i="4"/>
  <c r="K181" i="4"/>
  <c r="K182" i="4"/>
  <c r="K86" i="4" s="1"/>
  <c r="N126" i="4"/>
  <c r="N106" i="4"/>
  <c r="N107" i="4" s="1"/>
  <c r="N188" i="4" s="1"/>
  <c r="N189" i="4" s="1"/>
  <c r="P67" i="4"/>
  <c r="P68" i="4"/>
  <c r="P70" i="4"/>
  <c r="J47" i="4"/>
  <c r="J73" i="4"/>
  <c r="K22" i="4"/>
  <c r="L17" i="4"/>
  <c r="L16" i="4"/>
  <c r="P11" i="4"/>
  <c r="P61" i="4"/>
  <c r="P63" i="4" s="1"/>
  <c r="P38" i="4"/>
  <c r="P12" i="4"/>
  <c r="P20" i="4"/>
  <c r="R60" i="3"/>
  <c r="Q7" i="4"/>
  <c r="Q62" i="3"/>
  <c r="Q8" i="4" s="1"/>
  <c r="O195" i="4" l="1"/>
  <c r="O126" i="4" s="1"/>
  <c r="P180" i="4"/>
  <c r="P221" i="4" s="1"/>
  <c r="R59" i="3"/>
  <c r="R61" i="3" s="1"/>
  <c r="Q6" i="4"/>
  <c r="Q193" i="4" s="1"/>
  <c r="Q219" i="4" s="1"/>
  <c r="Q267" i="4" s="1"/>
  <c r="I209" i="4"/>
  <c r="Q151" i="4"/>
  <c r="Q81" i="4" s="1"/>
  <c r="J244" i="4"/>
  <c r="P153" i="4"/>
  <c r="P105" i="4" s="1"/>
  <c r="O105" i="4"/>
  <c r="O106" i="4" s="1"/>
  <c r="O107" i="4" s="1"/>
  <c r="O188" i="4" s="1"/>
  <c r="O189" i="4" s="1"/>
  <c r="J141" i="4"/>
  <c r="J100" i="4" s="1"/>
  <c r="K218" i="4"/>
  <c r="J119" i="4"/>
  <c r="J252" i="4"/>
  <c r="J251" i="4"/>
  <c r="K183" i="4"/>
  <c r="K222" i="4" s="1"/>
  <c r="K136" i="4"/>
  <c r="Q70" i="4"/>
  <c r="Q67" i="4"/>
  <c r="Q68" i="4"/>
  <c r="J75" i="4"/>
  <c r="J77" i="4" s="1"/>
  <c r="K39" i="4"/>
  <c r="K41" i="4" s="1"/>
  <c r="K43" i="4" s="1"/>
  <c r="K45" i="4" s="1"/>
  <c r="K69" i="4"/>
  <c r="L18" i="4"/>
  <c r="L22" i="4" s="1"/>
  <c r="Q12" i="4"/>
  <c r="Q38" i="4"/>
  <c r="Q61" i="4"/>
  <c r="Q63" i="4" s="1"/>
  <c r="Q20" i="4"/>
  <c r="Q11" i="4"/>
  <c r="S60" i="3"/>
  <c r="R7" i="4"/>
  <c r="R62" i="3"/>
  <c r="R8" i="4" s="1"/>
  <c r="P192" i="4" l="1"/>
  <c r="P195" i="4" s="1"/>
  <c r="S59" i="3"/>
  <c r="S61" i="3" s="1"/>
  <c r="R6" i="4"/>
  <c r="R180" i="4" s="1"/>
  <c r="R221" i="4" s="1"/>
  <c r="Q180" i="4"/>
  <c r="Q221" i="4" s="1"/>
  <c r="R151" i="4"/>
  <c r="R81" i="4" s="1"/>
  <c r="Q150" i="4"/>
  <c r="Q153" i="4" s="1"/>
  <c r="R150" i="4" s="1"/>
  <c r="K135" i="4"/>
  <c r="L138" i="4"/>
  <c r="K137" i="4"/>
  <c r="M139" i="4"/>
  <c r="N140" i="4"/>
  <c r="K184" i="4"/>
  <c r="L179" i="4" s="1"/>
  <c r="L181" i="4" s="1"/>
  <c r="Q192" i="4"/>
  <c r="Q195" i="4" s="1"/>
  <c r="Q126" i="4" s="1"/>
  <c r="P126" i="4"/>
  <c r="J79" i="4"/>
  <c r="J165" i="4"/>
  <c r="P106" i="4"/>
  <c r="P107" i="4" s="1"/>
  <c r="P188" i="4" s="1"/>
  <c r="P189" i="4" s="1"/>
  <c r="L136" i="4"/>
  <c r="L137" i="4" s="1"/>
  <c r="R67" i="4"/>
  <c r="R68" i="4"/>
  <c r="R70" i="4"/>
  <c r="L39" i="4"/>
  <c r="L41" i="4" s="1"/>
  <c r="L43" i="4" s="1"/>
  <c r="L45" i="4" s="1"/>
  <c r="L69" i="4"/>
  <c r="K47" i="4"/>
  <c r="K73" i="4"/>
  <c r="M15" i="4"/>
  <c r="M17" i="4" s="1"/>
  <c r="R20" i="4"/>
  <c r="R12" i="4"/>
  <c r="R61" i="4"/>
  <c r="R63" i="4" s="1"/>
  <c r="R11" i="4"/>
  <c r="R38" i="4"/>
  <c r="T60" i="3"/>
  <c r="S7" i="4"/>
  <c r="S62" i="3"/>
  <c r="S8" i="4" s="1"/>
  <c r="R193" i="4" l="1"/>
  <c r="R219" i="4" s="1"/>
  <c r="R267" i="4" s="1"/>
  <c r="T59" i="3"/>
  <c r="T61" i="3" s="1"/>
  <c r="S6" i="4"/>
  <c r="S180" i="4" s="1"/>
  <c r="S221" i="4" s="1"/>
  <c r="S151" i="4"/>
  <c r="S81" i="4" s="1"/>
  <c r="R153" i="4"/>
  <c r="R105" i="4" s="1"/>
  <c r="J208" i="4"/>
  <c r="K244" i="4"/>
  <c r="Q105" i="4"/>
  <c r="Q106" i="4" s="1"/>
  <c r="Q107" i="4" s="1"/>
  <c r="Q188" i="4" s="1"/>
  <c r="Q189" i="4" s="1"/>
  <c r="K141" i="4"/>
  <c r="K100" i="4" s="1"/>
  <c r="M169" i="4"/>
  <c r="M138" i="4"/>
  <c r="N139" i="4"/>
  <c r="O140" i="4"/>
  <c r="K167" i="4"/>
  <c r="L168" i="4"/>
  <c r="J166" i="4"/>
  <c r="J170" i="4" s="1"/>
  <c r="K118" i="4"/>
  <c r="L182" i="4"/>
  <c r="L86" i="4" s="1"/>
  <c r="J83" i="4"/>
  <c r="R192" i="4"/>
  <c r="S68" i="4"/>
  <c r="S70" i="4"/>
  <c r="S67" i="4"/>
  <c r="L47" i="4"/>
  <c r="L244" i="4" s="1"/>
  <c r="L73" i="4"/>
  <c r="L75" i="4" s="1"/>
  <c r="L77" i="4" s="1"/>
  <c r="K75" i="4"/>
  <c r="K77" i="4" s="1"/>
  <c r="M16" i="4"/>
  <c r="M18" i="4" s="1"/>
  <c r="N15" i="4" s="1"/>
  <c r="U60" i="3"/>
  <c r="T7" i="4"/>
  <c r="T62" i="3"/>
  <c r="T8" i="4" s="1"/>
  <c r="S11" i="4"/>
  <c r="S38" i="4"/>
  <c r="S12" i="4"/>
  <c r="S20" i="4"/>
  <c r="S61" i="4"/>
  <c r="S63" i="4" s="1"/>
  <c r="R195" i="4" l="1"/>
  <c r="S192" i="4" s="1"/>
  <c r="U59" i="3"/>
  <c r="U61" i="3" s="1"/>
  <c r="T6" i="4"/>
  <c r="T180" i="4" s="1"/>
  <c r="T221" i="4" s="1"/>
  <c r="S193" i="4"/>
  <c r="S219" i="4" s="1"/>
  <c r="S267" i="4" s="1"/>
  <c r="S150" i="4"/>
  <c r="S153" i="4" s="1"/>
  <c r="T150" i="4" s="1"/>
  <c r="T151" i="4"/>
  <c r="T81" i="4" s="1"/>
  <c r="J250" i="4"/>
  <c r="L135" i="4"/>
  <c r="L141" i="4" s="1"/>
  <c r="L100" i="4" s="1"/>
  <c r="K164" i="4"/>
  <c r="J113" i="4"/>
  <c r="L183" i="4"/>
  <c r="L184" i="4" s="1"/>
  <c r="L118" i="4" s="1"/>
  <c r="K119" i="4"/>
  <c r="K252" i="4"/>
  <c r="K251" i="4"/>
  <c r="L218" i="4"/>
  <c r="L79" i="4"/>
  <c r="L208" i="4" s="1"/>
  <c r="L165" i="4"/>
  <c r="K79" i="4"/>
  <c r="K208" i="4" s="1"/>
  <c r="K165" i="4"/>
  <c r="R106" i="4"/>
  <c r="R107" i="4" s="1"/>
  <c r="R188" i="4" s="1"/>
  <c r="R189" i="4" s="1"/>
  <c r="T70" i="4"/>
  <c r="T67" i="4"/>
  <c r="T68" i="4"/>
  <c r="M22" i="4"/>
  <c r="N16" i="4"/>
  <c r="N17" i="4"/>
  <c r="T12" i="4"/>
  <c r="T61" i="4"/>
  <c r="T63" i="4" s="1"/>
  <c r="T20" i="4"/>
  <c r="T38" i="4"/>
  <c r="T11" i="4"/>
  <c r="V60" i="3"/>
  <c r="U7" i="4"/>
  <c r="U62" i="3"/>
  <c r="U8" i="4" s="1"/>
  <c r="R126" i="4" l="1"/>
  <c r="S195" i="4"/>
  <c r="S126" i="4" s="1"/>
  <c r="T193" i="4"/>
  <c r="T219" i="4" s="1"/>
  <c r="T267" i="4" s="1"/>
  <c r="U6" i="4"/>
  <c r="U180" i="4" s="1"/>
  <c r="U221" i="4" s="1"/>
  <c r="V59" i="3"/>
  <c r="V61" i="3" s="1"/>
  <c r="J209" i="4"/>
  <c r="U151" i="4"/>
  <c r="U81" i="4" s="1"/>
  <c r="T153" i="4"/>
  <c r="U150" i="4" s="1"/>
  <c r="S105" i="4"/>
  <c r="S106" i="4" s="1"/>
  <c r="S107" i="4" s="1"/>
  <c r="S188" i="4" s="1"/>
  <c r="S189" i="4" s="1"/>
  <c r="L167" i="4"/>
  <c r="N169" i="4"/>
  <c r="M168" i="4"/>
  <c r="L166" i="4"/>
  <c r="O169" i="4"/>
  <c r="N168" i="4"/>
  <c r="M167" i="4"/>
  <c r="K166" i="4"/>
  <c r="K170" i="4" s="1"/>
  <c r="M135" i="4"/>
  <c r="L222" i="4"/>
  <c r="L119" i="4"/>
  <c r="L252" i="4"/>
  <c r="L251" i="4"/>
  <c r="M179" i="4"/>
  <c r="M181" i="4" s="1"/>
  <c r="K83" i="4"/>
  <c r="L83" i="4"/>
  <c r="L250" i="4" s="1"/>
  <c r="T192" i="4"/>
  <c r="M136" i="4"/>
  <c r="U68" i="4"/>
  <c r="U70" i="4"/>
  <c r="U67" i="4"/>
  <c r="M39" i="4"/>
  <c r="M41" i="4" s="1"/>
  <c r="M43" i="4" s="1"/>
  <c r="M45" i="4" s="1"/>
  <c r="M69" i="4"/>
  <c r="N18" i="4"/>
  <c r="O15" i="4" s="1"/>
  <c r="W60" i="3"/>
  <c r="V7" i="4"/>
  <c r="V62" i="3"/>
  <c r="V8" i="4" s="1"/>
  <c r="U12" i="4"/>
  <c r="U20" i="4"/>
  <c r="U38" i="4"/>
  <c r="U61" i="4"/>
  <c r="U63" i="4" s="1"/>
  <c r="U11" i="4"/>
  <c r="T195" i="4" l="1"/>
  <c r="U192" i="4" s="1"/>
  <c r="U193" i="4"/>
  <c r="U219" i="4" s="1"/>
  <c r="U267" i="4" s="1"/>
  <c r="W59" i="3"/>
  <c r="W61" i="3" s="1"/>
  <c r="V6" i="4"/>
  <c r="V193" i="4" s="1"/>
  <c r="V219" i="4" s="1"/>
  <c r="V267" i="4" s="1"/>
  <c r="T105" i="4"/>
  <c r="T106" i="4" s="1"/>
  <c r="T107" i="4" s="1"/>
  <c r="T188" i="4" s="1"/>
  <c r="T189" i="4" s="1"/>
  <c r="V151" i="4"/>
  <c r="V81" i="4" s="1"/>
  <c r="U153" i="4"/>
  <c r="U105" i="4" s="1"/>
  <c r="K250" i="4"/>
  <c r="M137" i="4"/>
  <c r="M141" i="4" s="1"/>
  <c r="N138" i="4"/>
  <c r="O139" i="4"/>
  <c r="P140" i="4"/>
  <c r="L164" i="4"/>
  <c r="K113" i="4"/>
  <c r="M182" i="4"/>
  <c r="M86" i="4" s="1"/>
  <c r="I210" i="4"/>
  <c r="J210" i="4"/>
  <c r="J258" i="4" s="1"/>
  <c r="V67" i="4"/>
  <c r="V70" i="4"/>
  <c r="V68" i="4"/>
  <c r="M47" i="4"/>
  <c r="M244" i="4" s="1"/>
  <c r="M73" i="4"/>
  <c r="M75" i="4" s="1"/>
  <c r="M77" i="4" s="1"/>
  <c r="N22" i="4"/>
  <c r="V12" i="4"/>
  <c r="V61" i="4"/>
  <c r="V63" i="4" s="1"/>
  <c r="V20" i="4"/>
  <c r="V38" i="4"/>
  <c r="V11" i="4"/>
  <c r="O17" i="4"/>
  <c r="O16" i="4"/>
  <c r="X60" i="3"/>
  <c r="W7" i="4"/>
  <c r="W62" i="3"/>
  <c r="W8" i="4" s="1"/>
  <c r="V180" i="4" l="1"/>
  <c r="V221" i="4" s="1"/>
  <c r="U195" i="4"/>
  <c r="V192" i="4" s="1"/>
  <c r="V195" i="4" s="1"/>
  <c r="V126" i="4" s="1"/>
  <c r="T126" i="4"/>
  <c r="W6" i="4"/>
  <c r="W193" i="4" s="1"/>
  <c r="W219" i="4" s="1"/>
  <c r="W267" i="4" s="1"/>
  <c r="X59" i="3"/>
  <c r="X61" i="3" s="1"/>
  <c r="J260" i="4"/>
  <c r="I258" i="4"/>
  <c r="W151" i="4"/>
  <c r="W81" i="4" s="1"/>
  <c r="V150" i="4"/>
  <c r="V153" i="4" s="1"/>
  <c r="W150" i="4" s="1"/>
  <c r="L170" i="4"/>
  <c r="M164" i="4" s="1"/>
  <c r="K209" i="4"/>
  <c r="K210" i="4" s="1"/>
  <c r="K258" i="4" s="1"/>
  <c r="N135" i="4"/>
  <c r="M100" i="4"/>
  <c r="M218" i="4"/>
  <c r="M183" i="4"/>
  <c r="M222" i="4" s="1"/>
  <c r="M79" i="4"/>
  <c r="M208" i="4" s="1"/>
  <c r="M165" i="4"/>
  <c r="U106" i="4"/>
  <c r="U107" i="4" s="1"/>
  <c r="U188" i="4" s="1"/>
  <c r="U189" i="4" s="1"/>
  <c r="N136" i="4"/>
  <c r="W67" i="4"/>
  <c r="W70" i="4"/>
  <c r="W68" i="4"/>
  <c r="N39" i="4"/>
  <c r="N41" i="4" s="1"/>
  <c r="N43" i="4" s="1"/>
  <c r="N45" i="4" s="1"/>
  <c r="N69" i="4"/>
  <c r="O18" i="4"/>
  <c r="P15" i="4" s="1"/>
  <c r="Y60" i="3"/>
  <c r="X7" i="4"/>
  <c r="X62" i="3"/>
  <c r="X8" i="4" s="1"/>
  <c r="W12" i="4"/>
  <c r="W38" i="4"/>
  <c r="W61" i="4"/>
  <c r="W63" i="4" s="1"/>
  <c r="W20" i="4"/>
  <c r="W11" i="4"/>
  <c r="W180" i="4" l="1"/>
  <c r="W221" i="4" s="1"/>
  <c r="Y59" i="3"/>
  <c r="Y61" i="3" s="1"/>
  <c r="U126" i="4"/>
  <c r="X6" i="4"/>
  <c r="X180" i="4" s="1"/>
  <c r="X221" i="4" s="1"/>
  <c r="J262" i="4"/>
  <c r="J263" i="4" s="1"/>
  <c r="K260" i="4"/>
  <c r="K262" i="4" s="1"/>
  <c r="K263" i="4" s="1"/>
  <c r="I260" i="4"/>
  <c r="I262" i="4" s="1"/>
  <c r="I263" i="4" s="1"/>
  <c r="I277" i="4" s="1"/>
  <c r="X151" i="4"/>
  <c r="X81" i="4" s="1"/>
  <c r="W153" i="4"/>
  <c r="W105" i="4" s="1"/>
  <c r="V105" i="4"/>
  <c r="V106" i="4" s="1"/>
  <c r="V107" i="4" s="1"/>
  <c r="V188" i="4" s="1"/>
  <c r="V189" i="4" s="1"/>
  <c r="L113" i="4"/>
  <c r="N137" i="4"/>
  <c r="N141" i="4" s="1"/>
  <c r="O138" i="4"/>
  <c r="P139" i="4"/>
  <c r="Q140" i="4"/>
  <c r="O168" i="4"/>
  <c r="N167" i="4"/>
  <c r="P169" i="4"/>
  <c r="M166" i="4"/>
  <c r="M170" i="4" s="1"/>
  <c r="M184" i="4"/>
  <c r="N179" i="4" s="1"/>
  <c r="N181" i="4" s="1"/>
  <c r="M83" i="4"/>
  <c r="M250" i="4" s="1"/>
  <c r="W192" i="4"/>
  <c r="W195" i="4" s="1"/>
  <c r="X192" i="4" s="1"/>
  <c r="X67" i="4"/>
  <c r="X70" i="4"/>
  <c r="X68" i="4"/>
  <c r="N47" i="4"/>
  <c r="N244" i="4" s="1"/>
  <c r="N73" i="4"/>
  <c r="O22" i="4"/>
  <c r="P16" i="4"/>
  <c r="P17" i="4"/>
  <c r="Z60" i="3"/>
  <c r="Y7" i="4"/>
  <c r="Y62" i="3"/>
  <c r="Y8" i="4" s="1"/>
  <c r="X20" i="4"/>
  <c r="X38" i="4"/>
  <c r="X12" i="4"/>
  <c r="X11" i="4"/>
  <c r="X61" i="4"/>
  <c r="X63" i="4" s="1"/>
  <c r="Y6" i="4" l="1"/>
  <c r="Z59" i="3"/>
  <c r="Z61" i="3" s="1"/>
  <c r="X193" i="4"/>
  <c r="X219" i="4" s="1"/>
  <c r="X267" i="4" s="1"/>
  <c r="K277" i="4"/>
  <c r="J277" i="4"/>
  <c r="I265" i="4"/>
  <c r="L209" i="4"/>
  <c r="L210" i="4" s="1"/>
  <c r="L258" i="4" s="1"/>
  <c r="Y151" i="4"/>
  <c r="Y81" i="4" s="1"/>
  <c r="X150" i="4"/>
  <c r="X153" i="4" s="1"/>
  <c r="Y150" i="4" s="1"/>
  <c r="N164" i="4"/>
  <c r="M113" i="4"/>
  <c r="O135" i="4"/>
  <c r="N100" i="4"/>
  <c r="N182" i="4"/>
  <c r="N86" i="4" s="1"/>
  <c r="M118" i="4"/>
  <c r="W126" i="4"/>
  <c r="Y180" i="4"/>
  <c r="Y221" i="4" s="1"/>
  <c r="Y193" i="4"/>
  <c r="Y219" i="4" s="1"/>
  <c r="Y267" i="4" s="1"/>
  <c r="W106" i="4"/>
  <c r="W107" i="4" s="1"/>
  <c r="W188" i="4" s="1"/>
  <c r="W189" i="4" s="1"/>
  <c r="O136" i="4"/>
  <c r="Y67" i="4"/>
  <c r="Y70" i="4"/>
  <c r="Y68" i="4"/>
  <c r="N75" i="4"/>
  <c r="N77" i="4" s="1"/>
  <c r="O39" i="4"/>
  <c r="O41" i="4" s="1"/>
  <c r="O43" i="4" s="1"/>
  <c r="O45" i="4" s="1"/>
  <c r="O69" i="4"/>
  <c r="P18" i="4"/>
  <c r="P22" i="4" s="1"/>
  <c r="Y12" i="4"/>
  <c r="Y11" i="4"/>
  <c r="Y61" i="4"/>
  <c r="Y63" i="4" s="1"/>
  <c r="Y20" i="4"/>
  <c r="Y38" i="4"/>
  <c r="AA60" i="3"/>
  <c r="Z7" i="4"/>
  <c r="Z62" i="3"/>
  <c r="Z8" i="4" s="1"/>
  <c r="AA59" i="3"/>
  <c r="AA61" i="3" s="1"/>
  <c r="Z6" i="4" l="1"/>
  <c r="Z193" i="4" s="1"/>
  <c r="Z219" i="4" s="1"/>
  <c r="Z267" i="4" s="1"/>
  <c r="X195" i="4"/>
  <c r="Y192" i="4" s="1"/>
  <c r="Y195" i="4" s="1"/>
  <c r="Z192" i="4" s="1"/>
  <c r="J265" i="4"/>
  <c r="K265" i="4" s="1"/>
  <c r="I268" i="4"/>
  <c r="L260" i="4"/>
  <c r="L262" i="4" s="1"/>
  <c r="L263" i="4" s="1"/>
  <c r="Z151" i="4"/>
  <c r="Z81" i="4" s="1"/>
  <c r="Y153" i="4"/>
  <c r="Y105" i="4" s="1"/>
  <c r="M209" i="4"/>
  <c r="X105" i="4"/>
  <c r="X106" i="4" s="1"/>
  <c r="X107" i="4" s="1"/>
  <c r="X188" i="4" s="1"/>
  <c r="X189" i="4" s="1"/>
  <c r="O137" i="4"/>
  <c r="O141" i="4" s="1"/>
  <c r="P138" i="4"/>
  <c r="Q139" i="4"/>
  <c r="R140" i="4"/>
  <c r="N218" i="4"/>
  <c r="M119" i="4"/>
  <c r="M251" i="4"/>
  <c r="M252" i="4"/>
  <c r="N183" i="4"/>
  <c r="N222" i="4" s="1"/>
  <c r="Z180" i="4"/>
  <c r="Z221" i="4" s="1"/>
  <c r="N79" i="4"/>
  <c r="N208" i="4" s="1"/>
  <c r="N165" i="4"/>
  <c r="P136" i="4"/>
  <c r="AA6" i="4"/>
  <c r="Z67" i="4"/>
  <c r="Z68" i="4"/>
  <c r="Z70" i="4"/>
  <c r="O47" i="4"/>
  <c r="O244" i="4" s="1"/>
  <c r="O73" i="4"/>
  <c r="P39" i="4"/>
  <c r="P41" i="4" s="1"/>
  <c r="P43" i="4" s="1"/>
  <c r="P45" i="4" s="1"/>
  <c r="P69" i="4"/>
  <c r="Q15" i="4"/>
  <c r="Q16" i="4" s="1"/>
  <c r="AB60" i="3"/>
  <c r="AA7" i="4"/>
  <c r="AA62" i="3"/>
  <c r="AA8" i="4" s="1"/>
  <c r="Z20" i="4"/>
  <c r="Z11" i="4"/>
  <c r="Z61" i="4"/>
  <c r="Z63" i="4" s="1"/>
  <c r="Z38" i="4"/>
  <c r="Z12" i="4"/>
  <c r="AB59" i="3"/>
  <c r="AB61" i="3" s="1"/>
  <c r="X126" i="4" l="1"/>
  <c r="J268" i="4"/>
  <c r="I270" i="4"/>
  <c r="L265" i="4"/>
  <c r="L277" i="4"/>
  <c r="AA151" i="4"/>
  <c r="AA81" i="4" s="1"/>
  <c r="Z150" i="4"/>
  <c r="Z153" i="4" s="1"/>
  <c r="AA150" i="4" s="1"/>
  <c r="P137" i="4"/>
  <c r="Q138" i="4"/>
  <c r="R139" i="4"/>
  <c r="S140" i="4"/>
  <c r="O167" i="4"/>
  <c r="P168" i="4"/>
  <c r="Q169" i="4"/>
  <c r="N166" i="4"/>
  <c r="N170" i="4" s="1"/>
  <c r="P135" i="4"/>
  <c r="O100" i="4"/>
  <c r="N184" i="4"/>
  <c r="N118" i="4" s="1"/>
  <c r="N83" i="4"/>
  <c r="N250" i="4" s="1"/>
  <c r="Y126" i="4"/>
  <c r="Z195" i="4"/>
  <c r="Z126" i="4" s="1"/>
  <c r="AA180" i="4"/>
  <c r="AA221" i="4" s="1"/>
  <c r="AA193" i="4"/>
  <c r="AA219" i="4" s="1"/>
  <c r="AA267" i="4" s="1"/>
  <c r="Y106" i="4"/>
  <c r="Y107" i="4" s="1"/>
  <c r="Y188" i="4" s="1"/>
  <c r="Y189" i="4" s="1"/>
  <c r="AB6" i="4"/>
  <c r="AA68" i="4"/>
  <c r="AA70" i="4"/>
  <c r="AA67" i="4"/>
  <c r="P47" i="4"/>
  <c r="P244" i="4" s="1"/>
  <c r="P73" i="4"/>
  <c r="P75" i="4" s="1"/>
  <c r="P77" i="4" s="1"/>
  <c r="O75" i="4"/>
  <c r="O77" i="4" s="1"/>
  <c r="Q17" i="4"/>
  <c r="Q18" i="4" s="1"/>
  <c r="Q22" i="4" s="1"/>
  <c r="AA11" i="4"/>
  <c r="AA38" i="4"/>
  <c r="AA12" i="4"/>
  <c r="AA20" i="4"/>
  <c r="AA61" i="4"/>
  <c r="AA63" i="4" s="1"/>
  <c r="AC60" i="3"/>
  <c r="AB7" i="4"/>
  <c r="AB62" i="3"/>
  <c r="AB8" i="4" s="1"/>
  <c r="AC59" i="3"/>
  <c r="AC61" i="3" s="1"/>
  <c r="K268" i="4" l="1"/>
  <c r="J270" i="4"/>
  <c r="AB151" i="4"/>
  <c r="AB81" i="4" s="1"/>
  <c r="AA153" i="4"/>
  <c r="AA105" i="4" s="1"/>
  <c r="AA106" i="4" s="1"/>
  <c r="AA107" i="4" s="1"/>
  <c r="AA188" i="4" s="1"/>
  <c r="AA189" i="4" s="1"/>
  <c r="Z105" i="4"/>
  <c r="Z106" i="4" s="1"/>
  <c r="Z107" i="4" s="1"/>
  <c r="Z188" i="4" s="1"/>
  <c r="Z189" i="4" s="1"/>
  <c r="P141" i="4"/>
  <c r="P100" i="4" s="1"/>
  <c r="O164" i="4"/>
  <c r="N113" i="4"/>
  <c r="N119" i="4"/>
  <c r="N251" i="4"/>
  <c r="N252" i="4"/>
  <c r="O179" i="4"/>
  <c r="O181" i="4" s="1"/>
  <c r="M210" i="4"/>
  <c r="M258" i="4" s="1"/>
  <c r="AA192" i="4"/>
  <c r="AA195" i="4" s="1"/>
  <c r="AB192" i="4" s="1"/>
  <c r="AB180" i="4"/>
  <c r="AB221" i="4" s="1"/>
  <c r="AB193" i="4"/>
  <c r="AB219" i="4" s="1"/>
  <c r="AB267" i="4" s="1"/>
  <c r="O79" i="4"/>
  <c r="O208" i="4" s="1"/>
  <c r="O165" i="4"/>
  <c r="P79" i="4"/>
  <c r="P208" i="4" s="1"/>
  <c r="P165" i="4"/>
  <c r="Q136" i="4"/>
  <c r="AC6" i="4"/>
  <c r="AB70" i="4"/>
  <c r="AB67" i="4"/>
  <c r="AB68" i="4"/>
  <c r="Q39" i="4"/>
  <c r="Q41" i="4" s="1"/>
  <c r="Q43" i="4" s="1"/>
  <c r="Q45" i="4" s="1"/>
  <c r="Q69" i="4"/>
  <c r="R15" i="4"/>
  <c r="R16" i="4" s="1"/>
  <c r="AB12" i="4"/>
  <c r="AB11" i="4"/>
  <c r="AB61" i="4"/>
  <c r="AB63" i="4" s="1"/>
  <c r="AB20" i="4"/>
  <c r="AB38" i="4"/>
  <c r="AD60" i="3"/>
  <c r="AC7" i="4"/>
  <c r="AC62" i="3"/>
  <c r="AC8" i="4" s="1"/>
  <c r="AD59" i="3"/>
  <c r="AD61" i="3" s="1"/>
  <c r="K270" i="4" l="1"/>
  <c r="L268" i="4"/>
  <c r="L270" i="4" s="1"/>
  <c r="M260" i="4"/>
  <c r="M262" i="4" s="1"/>
  <c r="AB150" i="4"/>
  <c r="AB153" i="4" s="1"/>
  <c r="AC151" i="4"/>
  <c r="AC81" i="4" s="1"/>
  <c r="N209" i="4"/>
  <c r="Q137" i="4"/>
  <c r="R138" i="4"/>
  <c r="S139" i="4"/>
  <c r="T140" i="4"/>
  <c r="P166" i="4"/>
  <c r="S169" i="4"/>
  <c r="Q167" i="4"/>
  <c r="R168" i="4"/>
  <c r="Q168" i="4"/>
  <c r="R169" i="4"/>
  <c r="P167" i="4"/>
  <c r="O166" i="4"/>
  <c r="O170" i="4" s="1"/>
  <c r="Q135" i="4"/>
  <c r="O182" i="4"/>
  <c r="O86" i="4" s="1"/>
  <c r="O83" i="4"/>
  <c r="P83" i="4"/>
  <c r="AB195" i="4"/>
  <c r="AC192" i="4" s="1"/>
  <c r="AA126" i="4"/>
  <c r="AC180" i="4"/>
  <c r="AC221" i="4" s="1"/>
  <c r="AC193" i="4"/>
  <c r="AC219" i="4" s="1"/>
  <c r="AC267" i="4" s="1"/>
  <c r="AD6" i="4"/>
  <c r="AC68" i="4"/>
  <c r="AC67" i="4"/>
  <c r="AC70" i="4"/>
  <c r="Q47" i="4"/>
  <c r="Q244" i="4" s="1"/>
  <c r="Q73" i="4"/>
  <c r="R17" i="4"/>
  <c r="R18" i="4" s="1"/>
  <c r="S15" i="4" s="1"/>
  <c r="AC12" i="4"/>
  <c r="AC11" i="4"/>
  <c r="AC61" i="4"/>
  <c r="AC63" i="4" s="1"/>
  <c r="AC20" i="4"/>
  <c r="AC38" i="4"/>
  <c r="AE60" i="3"/>
  <c r="AD7" i="4"/>
  <c r="AD62" i="3"/>
  <c r="AD8" i="4" s="1"/>
  <c r="AE59" i="3"/>
  <c r="AE61" i="3" s="1"/>
  <c r="M263" i="4" l="1"/>
  <c r="M268" i="4" s="1"/>
  <c r="M270" i="4" s="1"/>
  <c r="AD151" i="4"/>
  <c r="AD81" i="4" s="1"/>
  <c r="AC150" i="4"/>
  <c r="AC153" i="4" s="1"/>
  <c r="AB105" i="4"/>
  <c r="AB106" i="4" s="1"/>
  <c r="AB107" i="4" s="1"/>
  <c r="AB188" i="4" s="1"/>
  <c r="AB189" i="4" s="1"/>
  <c r="Q141" i="4"/>
  <c r="Q100" i="4" s="1"/>
  <c r="O113" i="4"/>
  <c r="P164" i="4"/>
  <c r="O218" i="4"/>
  <c r="O250" i="4"/>
  <c r="O183" i="4"/>
  <c r="O222" i="4" s="1"/>
  <c r="N210" i="4"/>
  <c r="N258" i="4" s="1"/>
  <c r="AC195" i="4"/>
  <c r="AD192" i="4" s="1"/>
  <c r="AB126" i="4"/>
  <c r="AD180" i="4"/>
  <c r="AD221" i="4" s="1"/>
  <c r="AD193" i="4"/>
  <c r="AD219" i="4" s="1"/>
  <c r="AD267" i="4" s="1"/>
  <c r="AE6" i="4"/>
  <c r="AD67" i="4"/>
  <c r="AD68" i="4"/>
  <c r="AD70" i="4"/>
  <c r="Q75" i="4"/>
  <c r="Q77" i="4" s="1"/>
  <c r="R22" i="4"/>
  <c r="AD12" i="4"/>
  <c r="AD20" i="4"/>
  <c r="AD38" i="4"/>
  <c r="AD61" i="4"/>
  <c r="AD63" i="4" s="1"/>
  <c r="AD11" i="4"/>
  <c r="AF60" i="3"/>
  <c r="AE7" i="4"/>
  <c r="AE62" i="3"/>
  <c r="AE8" i="4" s="1"/>
  <c r="S16" i="4"/>
  <c r="S17" i="4"/>
  <c r="AF59" i="3"/>
  <c r="AF61" i="3" s="1"/>
  <c r="M265" i="4" l="1"/>
  <c r="M277" i="4"/>
  <c r="N260" i="4"/>
  <c r="N262" i="4" s="1"/>
  <c r="AE151" i="4"/>
  <c r="AE81" i="4" s="1"/>
  <c r="AD150" i="4"/>
  <c r="AD153" i="4" s="1"/>
  <c r="AE150" i="4" s="1"/>
  <c r="AC105" i="4"/>
  <c r="AC106" i="4" s="1"/>
  <c r="AC107" i="4" s="1"/>
  <c r="AC188" i="4" s="1"/>
  <c r="AC189" i="4" s="1"/>
  <c r="O209" i="4"/>
  <c r="O210" i="4" s="1"/>
  <c r="O258" i="4" s="1"/>
  <c r="P170" i="4"/>
  <c r="Q164" i="4" s="1"/>
  <c r="R135" i="4"/>
  <c r="O184" i="4"/>
  <c r="P179" i="4" s="1"/>
  <c r="P181" i="4" s="1"/>
  <c r="AC126" i="4"/>
  <c r="AD195" i="4"/>
  <c r="AD126" i="4" s="1"/>
  <c r="AE180" i="4"/>
  <c r="AE221" i="4" s="1"/>
  <c r="AE193" i="4"/>
  <c r="AE219" i="4" s="1"/>
  <c r="AE267" i="4" s="1"/>
  <c r="Q79" i="4"/>
  <c r="Q208" i="4" s="1"/>
  <c r="Q165" i="4"/>
  <c r="R136" i="4"/>
  <c r="AF6" i="4"/>
  <c r="AE67" i="4"/>
  <c r="AE70" i="4"/>
  <c r="AE68" i="4"/>
  <c r="R39" i="4"/>
  <c r="R41" i="4" s="1"/>
  <c r="R43" i="4" s="1"/>
  <c r="R45" i="4" s="1"/>
  <c r="R69" i="4"/>
  <c r="S18" i="4"/>
  <c r="S22" i="4" s="1"/>
  <c r="AG60" i="3"/>
  <c r="AF7" i="4"/>
  <c r="AF62" i="3"/>
  <c r="AF8" i="4" s="1"/>
  <c r="AE12" i="4"/>
  <c r="AE20" i="4"/>
  <c r="AE38" i="4"/>
  <c r="AE11" i="4"/>
  <c r="AE61" i="4"/>
  <c r="AE63" i="4" s="1"/>
  <c r="AG59" i="3"/>
  <c r="AG61" i="3" s="1"/>
  <c r="N263" i="4" l="1"/>
  <c r="N268" i="4" s="1"/>
  <c r="N270" i="4" s="1"/>
  <c r="O260" i="4"/>
  <c r="O262" i="4" s="1"/>
  <c r="O263" i="4" s="1"/>
  <c r="AF151" i="4"/>
  <c r="AF81" i="4" s="1"/>
  <c r="AE153" i="4"/>
  <c r="AF150" i="4" s="1"/>
  <c r="AD105" i="4"/>
  <c r="AD106" i="4" s="1"/>
  <c r="AD107" i="4" s="1"/>
  <c r="AD188" i="4" s="1"/>
  <c r="AD189" i="4" s="1"/>
  <c r="P113" i="4"/>
  <c r="R137" i="4"/>
  <c r="R141" i="4" s="1"/>
  <c r="S138" i="4"/>
  <c r="T139" i="4"/>
  <c r="U140" i="4"/>
  <c r="T169" i="4"/>
  <c r="R167" i="4"/>
  <c r="S168" i="4"/>
  <c r="Q166" i="4"/>
  <c r="Q170" i="4" s="1"/>
  <c r="P182" i="4"/>
  <c r="P86" i="4" s="1"/>
  <c r="O118" i="4"/>
  <c r="Q83" i="4"/>
  <c r="AE192" i="4"/>
  <c r="AE195" i="4" s="1"/>
  <c r="AF192" i="4" s="1"/>
  <c r="AF180" i="4"/>
  <c r="AF221" i="4" s="1"/>
  <c r="AF193" i="4"/>
  <c r="AF219" i="4" s="1"/>
  <c r="AF267" i="4" s="1"/>
  <c r="S136" i="4"/>
  <c r="AG6" i="4"/>
  <c r="AF67" i="4"/>
  <c r="AF68" i="4"/>
  <c r="AF70" i="4"/>
  <c r="S39" i="4"/>
  <c r="S41" i="4" s="1"/>
  <c r="S43" i="4" s="1"/>
  <c r="S45" i="4" s="1"/>
  <c r="S69" i="4"/>
  <c r="R47" i="4"/>
  <c r="R244" i="4" s="1"/>
  <c r="R73" i="4"/>
  <c r="R75" i="4" s="1"/>
  <c r="R77" i="4" s="1"/>
  <c r="T15" i="4"/>
  <c r="T16" i="4" s="1"/>
  <c r="AF11" i="4"/>
  <c r="AF61" i="4"/>
  <c r="AF63" i="4" s="1"/>
  <c r="AF38" i="4"/>
  <c r="AF12" i="4"/>
  <c r="AF20" i="4"/>
  <c r="AH60" i="3"/>
  <c r="AG7" i="4"/>
  <c r="AG62" i="3"/>
  <c r="AG8" i="4" s="1"/>
  <c r="AH59" i="3"/>
  <c r="AH61" i="3" s="1"/>
  <c r="O268" i="4" l="1"/>
  <c r="O270" i="4" s="1"/>
  <c r="O277" i="4"/>
  <c r="N265" i="4"/>
  <c r="N277" i="4"/>
  <c r="AG151" i="4"/>
  <c r="AG81" i="4" s="1"/>
  <c r="AF153" i="4"/>
  <c r="AG150" i="4" s="1"/>
  <c r="AE105" i="4"/>
  <c r="AE106" i="4" s="1"/>
  <c r="AE107" i="4" s="1"/>
  <c r="AE188" i="4" s="1"/>
  <c r="AE189" i="4" s="1"/>
  <c r="P209" i="4"/>
  <c r="P210" i="4" s="1"/>
  <c r="P258" i="4" s="1"/>
  <c r="S137" i="4"/>
  <c r="T138" i="4"/>
  <c r="U139" i="4"/>
  <c r="V140" i="4"/>
  <c r="Q113" i="4"/>
  <c r="R164" i="4"/>
  <c r="S135" i="4"/>
  <c r="R100" i="4"/>
  <c r="P250" i="4"/>
  <c r="O119" i="4"/>
  <c r="O251" i="4"/>
  <c r="O252" i="4"/>
  <c r="P218" i="4"/>
  <c r="P183" i="4"/>
  <c r="P222" i="4" s="1"/>
  <c r="AF195" i="4"/>
  <c r="AF126" i="4" s="1"/>
  <c r="AE126" i="4"/>
  <c r="AG180" i="4"/>
  <c r="AG221" i="4" s="1"/>
  <c r="AG193" i="4"/>
  <c r="AG219" i="4" s="1"/>
  <c r="AG267" i="4" s="1"/>
  <c r="R79" i="4"/>
  <c r="R208" i="4" s="1"/>
  <c r="R165" i="4"/>
  <c r="AH6" i="4"/>
  <c r="AG70" i="4"/>
  <c r="AG67" i="4"/>
  <c r="AG68" i="4"/>
  <c r="S47" i="4"/>
  <c r="S244" i="4" s="1"/>
  <c r="S73" i="4"/>
  <c r="T17" i="4"/>
  <c r="T18" i="4" s="1"/>
  <c r="U15" i="4" s="1"/>
  <c r="AG11" i="4"/>
  <c r="AG12" i="4"/>
  <c r="AG38" i="4"/>
  <c r="AG61" i="4"/>
  <c r="AG63" i="4" s="1"/>
  <c r="AG20" i="4"/>
  <c r="AI60" i="3"/>
  <c r="AH7" i="4"/>
  <c r="AH62" i="3"/>
  <c r="AH8" i="4" s="1"/>
  <c r="AI59" i="3"/>
  <c r="AI61" i="3" s="1"/>
  <c r="O265" i="4" l="1"/>
  <c r="P260" i="4"/>
  <c r="P262" i="4" s="1"/>
  <c r="AH151" i="4"/>
  <c r="AH81" i="4" s="1"/>
  <c r="AF105" i="4"/>
  <c r="AF106" i="4" s="1"/>
  <c r="AF107" i="4" s="1"/>
  <c r="AF188" i="4" s="1"/>
  <c r="AF189" i="4" s="1"/>
  <c r="AG153" i="4"/>
  <c r="AH150" i="4" s="1"/>
  <c r="Q209" i="4"/>
  <c r="S141" i="4"/>
  <c r="T135" i="4" s="1"/>
  <c r="U169" i="4"/>
  <c r="T168" i="4"/>
  <c r="S167" i="4"/>
  <c r="R166" i="4"/>
  <c r="R170" i="4" s="1"/>
  <c r="P184" i="4"/>
  <c r="P118" i="4" s="1"/>
  <c r="R83" i="4"/>
  <c r="AG192" i="4"/>
  <c r="AG195" i="4" s="1"/>
  <c r="AH192" i="4" s="1"/>
  <c r="AH180" i="4"/>
  <c r="AH221" i="4" s="1"/>
  <c r="AH193" i="4"/>
  <c r="AH219" i="4" s="1"/>
  <c r="AH267" i="4" s="1"/>
  <c r="AI6" i="4"/>
  <c r="AH67" i="4"/>
  <c r="AH70" i="4"/>
  <c r="AH68" i="4"/>
  <c r="S75" i="4"/>
  <c r="S77" i="4" s="1"/>
  <c r="T22" i="4"/>
  <c r="U16" i="4"/>
  <c r="U17" i="4"/>
  <c r="AH20" i="4"/>
  <c r="AH11" i="4"/>
  <c r="AH12" i="4"/>
  <c r="AH61" i="4"/>
  <c r="AH63" i="4" s="1"/>
  <c r="AH38" i="4"/>
  <c r="AJ60" i="3"/>
  <c r="AI7" i="4"/>
  <c r="AI62" i="3"/>
  <c r="AI8" i="4" s="1"/>
  <c r="AJ59" i="3"/>
  <c r="AJ61" i="3" s="1"/>
  <c r="P263" i="4" l="1"/>
  <c r="P268" i="4" s="1"/>
  <c r="P270" i="4" s="1"/>
  <c r="AI151" i="4"/>
  <c r="AI81" i="4" s="1"/>
  <c r="AH153" i="4"/>
  <c r="AH105" i="4" s="1"/>
  <c r="AH106" i="4" s="1"/>
  <c r="AH107" i="4" s="1"/>
  <c r="AH188" i="4" s="1"/>
  <c r="AH189" i="4" s="1"/>
  <c r="AG105" i="4"/>
  <c r="AG106" i="4" s="1"/>
  <c r="AG107" i="4" s="1"/>
  <c r="AG188" i="4" s="1"/>
  <c r="AG189" i="4" s="1"/>
  <c r="R113" i="4"/>
  <c r="S164" i="4"/>
  <c r="S100" i="4"/>
  <c r="P119" i="4"/>
  <c r="P251" i="4"/>
  <c r="P252" i="4"/>
  <c r="Q179" i="4"/>
  <c r="Q181" i="4" s="1"/>
  <c r="Q210" i="4"/>
  <c r="Q258" i="4" s="1"/>
  <c r="AG126" i="4"/>
  <c r="AH195" i="4"/>
  <c r="AI192" i="4" s="1"/>
  <c r="AI180" i="4"/>
  <c r="AI221" i="4" s="1"/>
  <c r="AI193" i="4"/>
  <c r="AI219" i="4" s="1"/>
  <c r="AI267" i="4" s="1"/>
  <c r="S79" i="4"/>
  <c r="S208" i="4" s="1"/>
  <c r="S165" i="4"/>
  <c r="T136" i="4"/>
  <c r="AJ6" i="4"/>
  <c r="AI68" i="4"/>
  <c r="AI70" i="4"/>
  <c r="AI67" i="4"/>
  <c r="T39" i="4"/>
  <c r="T41" i="4" s="1"/>
  <c r="T43" i="4" s="1"/>
  <c r="T45" i="4" s="1"/>
  <c r="T69" i="4"/>
  <c r="U18" i="4"/>
  <c r="V15" i="4" s="1"/>
  <c r="AI11" i="4"/>
  <c r="AI38" i="4"/>
  <c r="AI20" i="4"/>
  <c r="AI12" i="4"/>
  <c r="AI61" i="4"/>
  <c r="AI63" i="4" s="1"/>
  <c r="AK60" i="3"/>
  <c r="AJ7" i="4"/>
  <c r="AJ62" i="3"/>
  <c r="AJ8" i="4" s="1"/>
  <c r="AK59" i="3"/>
  <c r="AK61" i="3" s="1"/>
  <c r="AI150" i="4" l="1"/>
  <c r="AI153" i="4" s="1"/>
  <c r="AJ150" i="4" s="1"/>
  <c r="P265" i="4"/>
  <c r="P277" i="4"/>
  <c r="Q260" i="4"/>
  <c r="Q262" i="4" s="1"/>
  <c r="AJ151" i="4"/>
  <c r="AJ81" i="4" s="1"/>
  <c r="R209" i="4"/>
  <c r="T137" i="4"/>
  <c r="T141" i="4" s="1"/>
  <c r="U138" i="4"/>
  <c r="V139" i="4"/>
  <c r="W140" i="4"/>
  <c r="V169" i="4"/>
  <c r="U168" i="4"/>
  <c r="T167" i="4"/>
  <c r="S166" i="4"/>
  <c r="S170" i="4" s="1"/>
  <c r="Q182" i="4"/>
  <c r="Q86" i="4" s="1"/>
  <c r="S83" i="4"/>
  <c r="AH126" i="4"/>
  <c r="AI195" i="4"/>
  <c r="AJ192" i="4" s="1"/>
  <c r="AJ180" i="4"/>
  <c r="AJ221" i="4" s="1"/>
  <c r="AJ193" i="4"/>
  <c r="AJ219" i="4" s="1"/>
  <c r="AJ267" i="4" s="1"/>
  <c r="AK6" i="4"/>
  <c r="AJ70" i="4"/>
  <c r="AJ67" i="4"/>
  <c r="AJ68" i="4"/>
  <c r="T47" i="4"/>
  <c r="T244" i="4" s="1"/>
  <c r="T73" i="4"/>
  <c r="U22" i="4"/>
  <c r="AJ12" i="4"/>
  <c r="AJ20" i="4"/>
  <c r="AJ11" i="4"/>
  <c r="AJ61" i="4"/>
  <c r="AJ63" i="4" s="1"/>
  <c r="AJ38" i="4"/>
  <c r="AL60" i="3"/>
  <c r="AK7" i="4"/>
  <c r="AK62" i="3"/>
  <c r="AK8" i="4" s="1"/>
  <c r="V16" i="4"/>
  <c r="V17" i="4"/>
  <c r="AL59" i="3"/>
  <c r="AL61" i="3" s="1"/>
  <c r="Q263" i="4" l="1"/>
  <c r="Q268" i="4" s="1"/>
  <c r="Q270" i="4" s="1"/>
  <c r="AI105" i="4"/>
  <c r="AI106" i="4" s="1"/>
  <c r="AI107" i="4" s="1"/>
  <c r="AI188" i="4" s="1"/>
  <c r="AI189" i="4" s="1"/>
  <c r="AK151" i="4"/>
  <c r="AK81" i="4" s="1"/>
  <c r="AJ153" i="4"/>
  <c r="AK150" i="4" s="1"/>
  <c r="T164" i="4"/>
  <c r="S113" i="4"/>
  <c r="U135" i="4"/>
  <c r="T100" i="4"/>
  <c r="Q250" i="4"/>
  <c r="Q218" i="4"/>
  <c r="Q183" i="4"/>
  <c r="Q222" i="4" s="1"/>
  <c r="R210" i="4"/>
  <c r="R258" i="4" s="1"/>
  <c r="AJ195" i="4"/>
  <c r="AK192" i="4" s="1"/>
  <c r="AI126" i="4"/>
  <c r="AK180" i="4"/>
  <c r="AK221" i="4" s="1"/>
  <c r="AK193" i="4"/>
  <c r="AK219" i="4" s="1"/>
  <c r="AK267" i="4" s="1"/>
  <c r="U136" i="4"/>
  <c r="AL6" i="4"/>
  <c r="AK68" i="4"/>
  <c r="AK70" i="4"/>
  <c r="AK67" i="4"/>
  <c r="U39" i="4"/>
  <c r="U41" i="4" s="1"/>
  <c r="U43" i="4" s="1"/>
  <c r="U45" i="4" s="1"/>
  <c r="U69" i="4"/>
  <c r="T75" i="4"/>
  <c r="T77" i="4" s="1"/>
  <c r="V18" i="4"/>
  <c r="W15" i="4" s="1"/>
  <c r="AK12" i="4"/>
  <c r="AK11" i="4"/>
  <c r="AK38" i="4"/>
  <c r="AK61" i="4"/>
  <c r="AK63" i="4" s="1"/>
  <c r="AK20" i="4"/>
  <c r="AM60" i="3"/>
  <c r="AL7" i="4"/>
  <c r="AL62" i="3"/>
  <c r="AL8" i="4" s="1"/>
  <c r="AM59" i="3"/>
  <c r="AM61" i="3" s="1"/>
  <c r="Q265" i="4" l="1"/>
  <c r="Q277" i="4"/>
  <c r="R260" i="4"/>
  <c r="R262" i="4" s="1"/>
  <c r="AL151" i="4"/>
  <c r="AL81" i="4" s="1"/>
  <c r="AK153" i="4"/>
  <c r="AK105" i="4" s="1"/>
  <c r="AK106" i="4" s="1"/>
  <c r="AK107" i="4" s="1"/>
  <c r="AK188" i="4" s="1"/>
  <c r="AK189" i="4" s="1"/>
  <c r="AJ105" i="4"/>
  <c r="AJ106" i="4" s="1"/>
  <c r="AJ107" i="4" s="1"/>
  <c r="AJ188" i="4" s="1"/>
  <c r="AJ189" i="4" s="1"/>
  <c r="S209" i="4"/>
  <c r="U137" i="4"/>
  <c r="U141" i="4" s="1"/>
  <c r="V138" i="4"/>
  <c r="W139" i="4"/>
  <c r="X140" i="4"/>
  <c r="Q184" i="4"/>
  <c r="R179" i="4" s="1"/>
  <c r="R182" i="4" s="1"/>
  <c r="R86" i="4" s="1"/>
  <c r="AK195" i="4"/>
  <c r="AK126" i="4" s="1"/>
  <c r="AJ126" i="4"/>
  <c r="AL180" i="4"/>
  <c r="AL221" i="4" s="1"/>
  <c r="AL193" i="4"/>
  <c r="AL219" i="4" s="1"/>
  <c r="AL267" i="4" s="1"/>
  <c r="T79" i="4"/>
  <c r="T208" i="4" s="1"/>
  <c r="T165" i="4"/>
  <c r="AM6" i="4"/>
  <c r="AL67" i="4"/>
  <c r="AL68" i="4"/>
  <c r="AL70" i="4"/>
  <c r="U47" i="4"/>
  <c r="U73" i="4"/>
  <c r="V22" i="4"/>
  <c r="AL12" i="4"/>
  <c r="AL38" i="4"/>
  <c r="AL61" i="4"/>
  <c r="AL63" i="4" s="1"/>
  <c r="AL20" i="4"/>
  <c r="AL11" i="4"/>
  <c r="AN60" i="3"/>
  <c r="AM7" i="4"/>
  <c r="AM62" i="3"/>
  <c r="AM8" i="4" s="1"/>
  <c r="W17" i="4"/>
  <c r="W16" i="4"/>
  <c r="AN59" i="3"/>
  <c r="AN61" i="3" s="1"/>
  <c r="R263" i="4" l="1"/>
  <c r="R268" i="4" s="1"/>
  <c r="R270" i="4" s="1"/>
  <c r="AL150" i="4"/>
  <c r="AL153" i="4" s="1"/>
  <c r="AM151" i="4"/>
  <c r="AM81" i="4" s="1"/>
  <c r="U244" i="4"/>
  <c r="W169" i="4"/>
  <c r="V168" i="4"/>
  <c r="U167" i="4"/>
  <c r="T166" i="4"/>
  <c r="T170" i="4" s="1"/>
  <c r="U100" i="4"/>
  <c r="V135" i="4"/>
  <c r="R181" i="4"/>
  <c r="R183" i="4" s="1"/>
  <c r="R222" i="4" s="1"/>
  <c r="Q118" i="4"/>
  <c r="R250" i="4"/>
  <c r="T83" i="4"/>
  <c r="AL192" i="4"/>
  <c r="AL195" i="4" s="1"/>
  <c r="AM192" i="4" s="1"/>
  <c r="AM180" i="4"/>
  <c r="AM221" i="4" s="1"/>
  <c r="AM193" i="4"/>
  <c r="AM219" i="4" s="1"/>
  <c r="AM267" i="4" s="1"/>
  <c r="V136" i="4"/>
  <c r="AN6" i="4"/>
  <c r="AM67" i="4"/>
  <c r="AM70" i="4"/>
  <c r="AM68" i="4"/>
  <c r="V39" i="4"/>
  <c r="V41" i="4" s="1"/>
  <c r="V43" i="4" s="1"/>
  <c r="V45" i="4" s="1"/>
  <c r="V69" i="4"/>
  <c r="U75" i="4"/>
  <c r="U77" i="4" s="1"/>
  <c r="W18" i="4"/>
  <c r="W22" i="4" s="1"/>
  <c r="AO60" i="3"/>
  <c r="AN7" i="4"/>
  <c r="AN62" i="3"/>
  <c r="AN8" i="4" s="1"/>
  <c r="AM12" i="4"/>
  <c r="AM38" i="4"/>
  <c r="AM20" i="4"/>
  <c r="AM11" i="4"/>
  <c r="AM61" i="4"/>
  <c r="AM63" i="4" s="1"/>
  <c r="AO59" i="3"/>
  <c r="AO61" i="3" s="1"/>
  <c r="R265" i="4" l="1"/>
  <c r="R277" i="4"/>
  <c r="AN151" i="4"/>
  <c r="AN81" i="4" s="1"/>
  <c r="AM150" i="4"/>
  <c r="AM153" i="4" s="1"/>
  <c r="AM105" i="4" s="1"/>
  <c r="AM106" i="4" s="1"/>
  <c r="AM107" i="4" s="1"/>
  <c r="AM188" i="4" s="1"/>
  <c r="AM189" i="4" s="1"/>
  <c r="AL105" i="4"/>
  <c r="AL106" i="4" s="1"/>
  <c r="AL107" i="4" s="1"/>
  <c r="AL188" i="4" s="1"/>
  <c r="AL189" i="4" s="1"/>
  <c r="V137" i="4"/>
  <c r="V141" i="4" s="1"/>
  <c r="W138" i="4"/>
  <c r="X139" i="4"/>
  <c r="Y140" i="4"/>
  <c r="U164" i="4"/>
  <c r="T113" i="4"/>
  <c r="R218" i="4"/>
  <c r="Q119" i="4"/>
  <c r="Q251" i="4"/>
  <c r="Q252" i="4"/>
  <c r="S210" i="4"/>
  <c r="S258" i="4" s="1"/>
  <c r="R184" i="4"/>
  <c r="AL126" i="4"/>
  <c r="AM195" i="4"/>
  <c r="AN192" i="4" s="1"/>
  <c r="AN180" i="4"/>
  <c r="AN221" i="4" s="1"/>
  <c r="AN193" i="4"/>
  <c r="AN219" i="4" s="1"/>
  <c r="AN267" i="4" s="1"/>
  <c r="U79" i="4"/>
  <c r="U165" i="4"/>
  <c r="W136" i="4"/>
  <c r="AO6" i="4"/>
  <c r="AN67" i="4"/>
  <c r="AN68" i="4"/>
  <c r="AN70" i="4"/>
  <c r="W39" i="4"/>
  <c r="W41" i="4" s="1"/>
  <c r="W43" i="4" s="1"/>
  <c r="W45" i="4" s="1"/>
  <c r="W69" i="4"/>
  <c r="V47" i="4"/>
  <c r="V73" i="4"/>
  <c r="V75" i="4" s="1"/>
  <c r="V77" i="4" s="1"/>
  <c r="X15" i="4"/>
  <c r="X17" i="4" s="1"/>
  <c r="AN11" i="4"/>
  <c r="AN61" i="4"/>
  <c r="AN63" i="4" s="1"/>
  <c r="AN20" i="4"/>
  <c r="AN12" i="4"/>
  <c r="AN38" i="4"/>
  <c r="AP60" i="3"/>
  <c r="AO7" i="4"/>
  <c r="AO62" i="3"/>
  <c r="AO8" i="4" s="1"/>
  <c r="AP59" i="3"/>
  <c r="AP61" i="3" s="1"/>
  <c r="S260" i="4" l="1"/>
  <c r="S262" i="4" s="1"/>
  <c r="AN150" i="4"/>
  <c r="AN153" i="4" s="1"/>
  <c r="AO150" i="4" s="1"/>
  <c r="AO151" i="4"/>
  <c r="AO81" i="4" s="1"/>
  <c r="T209" i="4"/>
  <c r="U208" i="4"/>
  <c r="V244" i="4"/>
  <c r="W137" i="4"/>
  <c r="X138" i="4"/>
  <c r="Y139" i="4"/>
  <c r="Z140" i="4"/>
  <c r="W168" i="4"/>
  <c r="V167" i="4"/>
  <c r="X169" i="4"/>
  <c r="U166" i="4"/>
  <c r="U170" i="4" s="1"/>
  <c r="W135" i="4"/>
  <c r="V100" i="4"/>
  <c r="S179" i="4"/>
  <c r="R118" i="4"/>
  <c r="U83" i="4"/>
  <c r="AM126" i="4"/>
  <c r="AN195" i="4"/>
  <c r="AO192" i="4" s="1"/>
  <c r="AO180" i="4"/>
  <c r="AO221" i="4" s="1"/>
  <c r="AO193" i="4"/>
  <c r="AO219" i="4" s="1"/>
  <c r="AO267" i="4" s="1"/>
  <c r="V79" i="4"/>
  <c r="V208" i="4" s="1"/>
  <c r="V165" i="4"/>
  <c r="AP6" i="4"/>
  <c r="AO67" i="4"/>
  <c r="AO70" i="4"/>
  <c r="AO68" i="4"/>
  <c r="W47" i="4"/>
  <c r="W244" i="4" s="1"/>
  <c r="W73" i="4"/>
  <c r="X16" i="4"/>
  <c r="X18" i="4" s="1"/>
  <c r="X22" i="4" s="1"/>
  <c r="AO12" i="4"/>
  <c r="AO20" i="4"/>
  <c r="AO11" i="4"/>
  <c r="AO61" i="4"/>
  <c r="AO63" i="4" s="1"/>
  <c r="AO38" i="4"/>
  <c r="AQ60" i="3"/>
  <c r="AP7" i="4"/>
  <c r="AP62" i="3"/>
  <c r="AP8" i="4" s="1"/>
  <c r="AQ59" i="3"/>
  <c r="AQ61" i="3" s="1"/>
  <c r="S263" i="4" l="1"/>
  <c r="S268" i="4" s="1"/>
  <c r="S270" i="4" s="1"/>
  <c r="AN105" i="4"/>
  <c r="AN106" i="4" s="1"/>
  <c r="AN107" i="4" s="1"/>
  <c r="AN188" i="4" s="1"/>
  <c r="AN189" i="4" s="1"/>
  <c r="AO153" i="4"/>
  <c r="AP150" i="4" s="1"/>
  <c r="AP151" i="4"/>
  <c r="AP81" i="4" s="1"/>
  <c r="W141" i="4"/>
  <c r="X135" i="4" s="1"/>
  <c r="V166" i="4"/>
  <c r="W167" i="4"/>
  <c r="Y169" i="4"/>
  <c r="X168" i="4"/>
  <c r="V164" i="4"/>
  <c r="U113" i="4"/>
  <c r="R252" i="4"/>
  <c r="R251" i="4"/>
  <c r="T210" i="4"/>
  <c r="T258" i="4" s="1"/>
  <c r="R119" i="4"/>
  <c r="S181" i="4"/>
  <c r="S182" i="4"/>
  <c r="S86" i="4" s="1"/>
  <c r="V83" i="4"/>
  <c r="AO195" i="4"/>
  <c r="AP192" i="4" s="1"/>
  <c r="AN126" i="4"/>
  <c r="AP180" i="4"/>
  <c r="AP221" i="4" s="1"/>
  <c r="AP193" i="4"/>
  <c r="AP219" i="4" s="1"/>
  <c r="AP267" i="4" s="1"/>
  <c r="X136" i="4"/>
  <c r="AQ6" i="4"/>
  <c r="AP67" i="4"/>
  <c r="AP70" i="4"/>
  <c r="AP68" i="4"/>
  <c r="X39" i="4"/>
  <c r="X41" i="4" s="1"/>
  <c r="X43" i="4" s="1"/>
  <c r="X45" i="4" s="1"/>
  <c r="X69" i="4"/>
  <c r="W75" i="4"/>
  <c r="W77" i="4" s="1"/>
  <c r="Y15" i="4"/>
  <c r="Y16" i="4" s="1"/>
  <c r="AP20" i="4"/>
  <c r="AP38" i="4"/>
  <c r="AP11" i="4"/>
  <c r="AP61" i="4"/>
  <c r="AP63" i="4" s="1"/>
  <c r="AP12" i="4"/>
  <c r="AR60" i="3"/>
  <c r="AQ7" i="4"/>
  <c r="AQ62" i="3"/>
  <c r="AQ8" i="4" s="1"/>
  <c r="AR59" i="3"/>
  <c r="AR61" i="3" s="1"/>
  <c r="S265" i="4" l="1"/>
  <c r="S277" i="4"/>
  <c r="T260" i="4"/>
  <c r="T262" i="4" s="1"/>
  <c r="AO105" i="4"/>
  <c r="AO106" i="4" s="1"/>
  <c r="AO107" i="4" s="1"/>
  <c r="AO188" i="4" s="1"/>
  <c r="AO189" i="4" s="1"/>
  <c r="AQ151" i="4"/>
  <c r="AQ81" i="4" s="1"/>
  <c r="AP153" i="4"/>
  <c r="AQ150" i="4" s="1"/>
  <c r="U209" i="4"/>
  <c r="V170" i="4"/>
  <c r="W164" i="4" s="1"/>
  <c r="X137" i="4"/>
  <c r="X141" i="4" s="1"/>
  <c r="Y138" i="4"/>
  <c r="Z139" i="4"/>
  <c r="AA140" i="4"/>
  <c r="W100" i="4"/>
  <c r="S250" i="4"/>
  <c r="S218" i="4"/>
  <c r="S183" i="4"/>
  <c r="S222" i="4" s="1"/>
  <c r="AO126" i="4"/>
  <c r="AP195" i="4"/>
  <c r="AP126" i="4" s="1"/>
  <c r="AQ180" i="4"/>
  <c r="AQ221" i="4" s="1"/>
  <c r="AQ193" i="4"/>
  <c r="AQ219" i="4" s="1"/>
  <c r="AQ267" i="4" s="1"/>
  <c r="W79" i="4"/>
  <c r="W165" i="4"/>
  <c r="AR6" i="4"/>
  <c r="AQ67" i="4"/>
  <c r="AQ68" i="4"/>
  <c r="AQ70" i="4"/>
  <c r="X47" i="4"/>
  <c r="X73" i="4"/>
  <c r="X75" i="4" s="1"/>
  <c r="X77" i="4" s="1"/>
  <c r="Y17" i="4"/>
  <c r="Y18" i="4" s="1"/>
  <c r="AS60" i="3"/>
  <c r="AR7" i="4"/>
  <c r="AR62" i="3"/>
  <c r="AR8" i="4" s="1"/>
  <c r="AQ11" i="4"/>
  <c r="AQ61" i="4"/>
  <c r="AQ63" i="4" s="1"/>
  <c r="AQ20" i="4"/>
  <c r="AQ38" i="4"/>
  <c r="AQ12" i="4"/>
  <c r="AS59" i="3"/>
  <c r="AS61" i="3" s="1"/>
  <c r="T263" i="4" l="1"/>
  <c r="T268" i="4" s="1"/>
  <c r="T270" i="4" s="1"/>
  <c r="AP105" i="4"/>
  <c r="AP106" i="4" s="1"/>
  <c r="AP107" i="4" s="1"/>
  <c r="AP188" i="4" s="1"/>
  <c r="AP189" i="4" s="1"/>
  <c r="AR151" i="4"/>
  <c r="AR81" i="4" s="1"/>
  <c r="AQ153" i="4"/>
  <c r="AQ105" i="4" s="1"/>
  <c r="AQ106" i="4" s="1"/>
  <c r="AQ107" i="4" s="1"/>
  <c r="AQ188" i="4" s="1"/>
  <c r="AQ189" i="4" s="1"/>
  <c r="W208" i="4"/>
  <c r="X244" i="4"/>
  <c r="V113" i="4"/>
  <c r="X167" i="4"/>
  <c r="Y168" i="4"/>
  <c r="Z169" i="4"/>
  <c r="W166" i="4"/>
  <c r="W170" i="4" s="1"/>
  <c r="X100" i="4"/>
  <c r="Y135" i="4"/>
  <c r="S184" i="4"/>
  <c r="T179" i="4" s="1"/>
  <c r="U210" i="4"/>
  <c r="U258" i="4" s="1"/>
  <c r="W83" i="4"/>
  <c r="AQ192" i="4"/>
  <c r="AQ195" i="4" s="1"/>
  <c r="AR192" i="4" s="1"/>
  <c r="AR180" i="4"/>
  <c r="AR221" i="4" s="1"/>
  <c r="AR193" i="4"/>
  <c r="AR219" i="4" s="1"/>
  <c r="AR267" i="4" s="1"/>
  <c r="X79" i="4"/>
  <c r="X208" i="4" s="1"/>
  <c r="X165" i="4"/>
  <c r="AS6" i="4"/>
  <c r="AR70" i="4"/>
  <c r="AR67" i="4"/>
  <c r="AR68" i="4"/>
  <c r="Y22" i="4"/>
  <c r="Z15" i="4"/>
  <c r="Z17" i="4" s="1"/>
  <c r="AR12" i="4"/>
  <c r="AR11" i="4"/>
  <c r="AR38" i="4"/>
  <c r="AR61" i="4"/>
  <c r="AR63" i="4" s="1"/>
  <c r="AR20" i="4"/>
  <c r="AT60" i="3"/>
  <c r="AS7" i="4"/>
  <c r="AS62" i="3"/>
  <c r="AS8" i="4" s="1"/>
  <c r="AT59" i="3"/>
  <c r="AT61" i="3" s="1"/>
  <c r="T265" i="4" l="1"/>
  <c r="T277" i="4"/>
  <c r="U260" i="4"/>
  <c r="U262" i="4" s="1"/>
  <c r="AR150" i="4"/>
  <c r="AR153" i="4" s="1"/>
  <c r="AS150" i="4" s="1"/>
  <c r="AS151" i="4"/>
  <c r="AS81" i="4" s="1"/>
  <c r="V209" i="4"/>
  <c r="V210" i="4" s="1"/>
  <c r="V258" i="4" s="1"/>
  <c r="X166" i="4"/>
  <c r="Y167" i="4"/>
  <c r="Z168" i="4"/>
  <c r="AA169" i="4"/>
  <c r="W113" i="4"/>
  <c r="X164" i="4"/>
  <c r="S118" i="4"/>
  <c r="T181" i="4"/>
  <c r="T182" i="4"/>
  <c r="T86" i="4" s="1"/>
  <c r="X83" i="4"/>
  <c r="AQ126" i="4"/>
  <c r="AR195" i="4"/>
  <c r="AS192" i="4" s="1"/>
  <c r="AS180" i="4"/>
  <c r="AS221" i="4" s="1"/>
  <c r="AS193" i="4"/>
  <c r="AS219" i="4" s="1"/>
  <c r="AS267" i="4" s="1"/>
  <c r="Y136" i="4"/>
  <c r="AT6" i="4"/>
  <c r="AS68" i="4"/>
  <c r="AS70" i="4"/>
  <c r="AS67" i="4"/>
  <c r="Y39" i="4"/>
  <c r="Y41" i="4" s="1"/>
  <c r="Y43" i="4" s="1"/>
  <c r="Y45" i="4" s="1"/>
  <c r="Y69" i="4"/>
  <c r="Z16" i="4"/>
  <c r="Z18" i="4" s="1"/>
  <c r="AS12" i="4"/>
  <c r="AS61" i="4"/>
  <c r="AS63" i="4" s="1"/>
  <c r="AS11" i="4"/>
  <c r="AS20" i="4"/>
  <c r="AS38" i="4"/>
  <c r="AU60" i="3"/>
  <c r="AT7" i="4"/>
  <c r="AT62" i="3"/>
  <c r="AT8" i="4" s="1"/>
  <c r="AU59" i="3"/>
  <c r="AU61" i="3" s="1"/>
  <c r="U263" i="4" l="1"/>
  <c r="U268" i="4" s="1"/>
  <c r="U270" i="4" s="1"/>
  <c r="V260" i="4"/>
  <c r="V262" i="4" s="1"/>
  <c r="V263" i="4" s="1"/>
  <c r="AT151" i="4"/>
  <c r="AT81" i="4" s="1"/>
  <c r="AR105" i="4"/>
  <c r="AR106" i="4" s="1"/>
  <c r="AR107" i="4" s="1"/>
  <c r="AR188" i="4" s="1"/>
  <c r="AR189" i="4" s="1"/>
  <c r="AS153" i="4"/>
  <c r="AT150" i="4" s="1"/>
  <c r="W209" i="4"/>
  <c r="X170" i="4"/>
  <c r="Y164" i="4" s="1"/>
  <c r="Y137" i="4"/>
  <c r="Y141" i="4" s="1"/>
  <c r="Z138" i="4"/>
  <c r="AA139" i="4"/>
  <c r="AB140" i="4"/>
  <c r="T250" i="4"/>
  <c r="T218" i="4"/>
  <c r="S119" i="4"/>
  <c r="S252" i="4"/>
  <c r="S251" i="4"/>
  <c r="T183" i="4"/>
  <c r="T222" i="4" s="1"/>
  <c r="AR126" i="4"/>
  <c r="AS195" i="4"/>
  <c r="AT192" i="4" s="1"/>
  <c r="AT180" i="4"/>
  <c r="AT221" i="4" s="1"/>
  <c r="AT193" i="4"/>
  <c r="AT219" i="4" s="1"/>
  <c r="AT267" i="4" s="1"/>
  <c r="AU6" i="4"/>
  <c r="AT67" i="4"/>
  <c r="AT68" i="4"/>
  <c r="AT70" i="4"/>
  <c r="Y47" i="4"/>
  <c r="Y244" i="4" s="1"/>
  <c r="Y73" i="4"/>
  <c r="AA15" i="4"/>
  <c r="AA16" i="4" s="1"/>
  <c r="Z22" i="4"/>
  <c r="AT12" i="4"/>
  <c r="AT38" i="4"/>
  <c r="AT20" i="4"/>
  <c r="AT11" i="4"/>
  <c r="AT61" i="4"/>
  <c r="AT63" i="4" s="1"/>
  <c r="AV60" i="3"/>
  <c r="AU7" i="4"/>
  <c r="AU62" i="3"/>
  <c r="AU8" i="4" s="1"/>
  <c r="AV59" i="3"/>
  <c r="AV61" i="3" s="1"/>
  <c r="V277" i="4" l="1"/>
  <c r="V268" i="4"/>
  <c r="V270" i="4" s="1"/>
  <c r="U265" i="4"/>
  <c r="U277" i="4"/>
  <c r="AU151" i="4"/>
  <c r="AU81" i="4" s="1"/>
  <c r="AT153" i="4"/>
  <c r="AT105" i="4" s="1"/>
  <c r="AT106" i="4" s="1"/>
  <c r="AT107" i="4" s="1"/>
  <c r="AT188" i="4" s="1"/>
  <c r="AT189" i="4" s="1"/>
  <c r="AS105" i="4"/>
  <c r="AS106" i="4" s="1"/>
  <c r="AS107" i="4" s="1"/>
  <c r="AS188" i="4" s="1"/>
  <c r="AS189" i="4" s="1"/>
  <c r="X113" i="4"/>
  <c r="Z135" i="4"/>
  <c r="Y100" i="4"/>
  <c r="W210" i="4"/>
  <c r="W258" i="4" s="1"/>
  <c r="T184" i="4"/>
  <c r="AT195" i="4"/>
  <c r="AT126" i="4" s="1"/>
  <c r="AS126" i="4"/>
  <c r="AU180" i="4"/>
  <c r="AU221" i="4" s="1"/>
  <c r="AU193" i="4"/>
  <c r="AU219" i="4" s="1"/>
  <c r="AU267" i="4" s="1"/>
  <c r="Z136" i="4"/>
  <c r="AV6" i="4"/>
  <c r="AU67" i="4"/>
  <c r="AU70" i="4"/>
  <c r="AU68" i="4"/>
  <c r="Z39" i="4"/>
  <c r="Z41" i="4" s="1"/>
  <c r="Z43" i="4" s="1"/>
  <c r="Z45" i="4" s="1"/>
  <c r="Z69" i="4"/>
  <c r="Y75" i="4"/>
  <c r="Y77" i="4" s="1"/>
  <c r="AA17" i="4"/>
  <c r="AA18" i="4" s="1"/>
  <c r="AA22" i="4" s="1"/>
  <c r="AW60" i="3"/>
  <c r="AV7" i="4"/>
  <c r="AV62" i="3"/>
  <c r="AV8" i="4" s="1"/>
  <c r="AU12" i="4"/>
  <c r="AU11" i="4"/>
  <c r="AU20" i="4"/>
  <c r="AU61" i="4"/>
  <c r="AU63" i="4" s="1"/>
  <c r="AU38" i="4"/>
  <c r="AW59" i="3"/>
  <c r="AW61" i="3" s="1"/>
  <c r="V265" i="4" l="1"/>
  <c r="W260" i="4"/>
  <c r="W262" i="4" s="1"/>
  <c r="AV151" i="4"/>
  <c r="AV81" i="4" s="1"/>
  <c r="AU150" i="4"/>
  <c r="AU153" i="4" s="1"/>
  <c r="AU105" i="4" s="1"/>
  <c r="X209" i="4"/>
  <c r="Z137" i="4"/>
  <c r="Z141" i="4" s="1"/>
  <c r="AA138" i="4"/>
  <c r="AB139" i="4"/>
  <c r="AC140" i="4"/>
  <c r="U179" i="4"/>
  <c r="T118" i="4"/>
  <c r="AU192" i="4"/>
  <c r="AU195" i="4" s="1"/>
  <c r="AV180" i="4"/>
  <c r="AV221" i="4" s="1"/>
  <c r="AV193" i="4"/>
  <c r="AV219" i="4" s="1"/>
  <c r="AV267" i="4" s="1"/>
  <c r="Y79" i="4"/>
  <c r="Y208" i="4" s="1"/>
  <c r="Y165" i="4"/>
  <c r="AA136" i="4"/>
  <c r="AW6" i="4"/>
  <c r="AV67" i="4"/>
  <c r="AV68" i="4"/>
  <c r="AV70" i="4"/>
  <c r="AA39" i="4"/>
  <c r="AA41" i="4" s="1"/>
  <c r="AA43" i="4" s="1"/>
  <c r="AA45" i="4" s="1"/>
  <c r="AA69" i="4"/>
  <c r="Z47" i="4"/>
  <c r="Z244" i="4" s="1"/>
  <c r="Z73" i="4"/>
  <c r="Z75" i="4" s="1"/>
  <c r="Z77" i="4" s="1"/>
  <c r="AB15" i="4"/>
  <c r="AB17" i="4" s="1"/>
  <c r="AV11" i="4"/>
  <c r="AV38" i="4"/>
  <c r="AV61" i="4"/>
  <c r="AV63" i="4" s="1"/>
  <c r="AV12" i="4"/>
  <c r="AV20" i="4"/>
  <c r="AX60" i="3"/>
  <c r="AW7" i="4"/>
  <c r="AW62" i="3"/>
  <c r="AW8" i="4" s="1"/>
  <c r="AX59" i="3"/>
  <c r="AX61" i="3" s="1"/>
  <c r="W263" i="4" l="1"/>
  <c r="W268" i="4" s="1"/>
  <c r="W270" i="4" s="1"/>
  <c r="AW151" i="4"/>
  <c r="AW81" i="4" s="1"/>
  <c r="AV150" i="4"/>
  <c r="AV153" i="4" s="1"/>
  <c r="AW150" i="4" s="1"/>
  <c r="AA137" i="4"/>
  <c r="AB138" i="4"/>
  <c r="AC139" i="4"/>
  <c r="AD140" i="4"/>
  <c r="AB169" i="4"/>
  <c r="AA168" i="4"/>
  <c r="Z167" i="4"/>
  <c r="Y166" i="4"/>
  <c r="Y170" i="4" s="1"/>
  <c r="AA135" i="4"/>
  <c r="Z100" i="4"/>
  <c r="T252" i="4"/>
  <c r="T251" i="4"/>
  <c r="U181" i="4"/>
  <c r="U182" i="4"/>
  <c r="U86" i="4" s="1"/>
  <c r="T119" i="4"/>
  <c r="Y83" i="4"/>
  <c r="AV192" i="4"/>
  <c r="AV195" i="4" s="1"/>
  <c r="AU126" i="4"/>
  <c r="AW180" i="4"/>
  <c r="AW221" i="4" s="1"/>
  <c r="AW193" i="4"/>
  <c r="AW219" i="4" s="1"/>
  <c r="AW267" i="4" s="1"/>
  <c r="Z79" i="4"/>
  <c r="Z208" i="4" s="1"/>
  <c r="Z165" i="4"/>
  <c r="AU106" i="4"/>
  <c r="AU107" i="4" s="1"/>
  <c r="AU188" i="4" s="1"/>
  <c r="AU189" i="4" s="1"/>
  <c r="AX6" i="4"/>
  <c r="AW70" i="4"/>
  <c r="AW67" i="4"/>
  <c r="AW68" i="4"/>
  <c r="AA47" i="4"/>
  <c r="AA244" i="4" s="1"/>
  <c r="AA73" i="4"/>
  <c r="AB16" i="4"/>
  <c r="AB18" i="4" s="1"/>
  <c r="AB22" i="4" s="1"/>
  <c r="AY60" i="3"/>
  <c r="AX7" i="4"/>
  <c r="AX62" i="3"/>
  <c r="AX8" i="4" s="1"/>
  <c r="AW12" i="4"/>
  <c r="AW11" i="4"/>
  <c r="AW38" i="4"/>
  <c r="AW61" i="4"/>
  <c r="AW63" i="4" s="1"/>
  <c r="AW20" i="4"/>
  <c r="AY59" i="3"/>
  <c r="AY61" i="3" s="1"/>
  <c r="W265" i="4" l="1"/>
  <c r="W277" i="4"/>
  <c r="AV105" i="4"/>
  <c r="AV106" i="4" s="1"/>
  <c r="AV107" i="4" s="1"/>
  <c r="AV188" i="4" s="1"/>
  <c r="AV189" i="4" s="1"/>
  <c r="AX151" i="4"/>
  <c r="AX81" i="4" s="1"/>
  <c r="AW153" i="4"/>
  <c r="AX150" i="4" s="1"/>
  <c r="AA141" i="4"/>
  <c r="AB135" i="4" s="1"/>
  <c r="Z166" i="4"/>
  <c r="AC169" i="4"/>
  <c r="AB168" i="4"/>
  <c r="AA167" i="4"/>
  <c r="Z164" i="4"/>
  <c r="Y113" i="4"/>
  <c r="U250" i="4"/>
  <c r="U218" i="4"/>
  <c r="U183" i="4"/>
  <c r="U222" i="4" s="1"/>
  <c r="X210" i="4"/>
  <c r="X258" i="4" s="1"/>
  <c r="Z83" i="4"/>
  <c r="AW192" i="4"/>
  <c r="AW195" i="4" s="1"/>
  <c r="AV126" i="4"/>
  <c r="AX180" i="4"/>
  <c r="AX221" i="4" s="1"/>
  <c r="AX193" i="4"/>
  <c r="AX219" i="4" s="1"/>
  <c r="AX267" i="4" s="1"/>
  <c r="AB136" i="4"/>
  <c r="AY6" i="4"/>
  <c r="AX67" i="4"/>
  <c r="AX70" i="4"/>
  <c r="AX68" i="4"/>
  <c r="AB39" i="4"/>
  <c r="AB41" i="4" s="1"/>
  <c r="AB43" i="4" s="1"/>
  <c r="AB45" i="4" s="1"/>
  <c r="AB69" i="4"/>
  <c r="AA75" i="4"/>
  <c r="AA77" i="4" s="1"/>
  <c r="AC15" i="4"/>
  <c r="AC17" i="4" s="1"/>
  <c r="AX20" i="4"/>
  <c r="AX38" i="4"/>
  <c r="AX12" i="4"/>
  <c r="AX11" i="4"/>
  <c r="AX61" i="4"/>
  <c r="AX63" i="4" s="1"/>
  <c r="AZ60" i="3"/>
  <c r="AY7" i="4"/>
  <c r="AY62" i="3"/>
  <c r="AY8" i="4" s="1"/>
  <c r="AZ59" i="3"/>
  <c r="AZ61" i="3" s="1"/>
  <c r="X260" i="4" l="1"/>
  <c r="X262" i="4" s="1"/>
  <c r="AY151" i="4"/>
  <c r="AY81" i="4" s="1"/>
  <c r="AW105" i="4"/>
  <c r="AW106" i="4" s="1"/>
  <c r="AW107" i="4" s="1"/>
  <c r="AW188" i="4" s="1"/>
  <c r="AW189" i="4" s="1"/>
  <c r="AX153" i="4"/>
  <c r="AX105" i="4" s="1"/>
  <c r="AX106" i="4" s="1"/>
  <c r="AX107" i="4" s="1"/>
  <c r="AX188" i="4" s="1"/>
  <c r="AX189" i="4" s="1"/>
  <c r="Y209" i="4"/>
  <c r="Z170" i="4"/>
  <c r="AA164" i="4" s="1"/>
  <c r="AB137" i="4"/>
  <c r="AB141" i="4" s="1"/>
  <c r="AC138" i="4"/>
  <c r="AD139" i="4"/>
  <c r="AE140" i="4"/>
  <c r="AA100" i="4"/>
  <c r="U184" i="4"/>
  <c r="U118" i="4" s="1"/>
  <c r="AX192" i="4"/>
  <c r="AX195" i="4" s="1"/>
  <c r="AW126" i="4"/>
  <c r="AY180" i="4"/>
  <c r="AY221" i="4" s="1"/>
  <c r="AY193" i="4"/>
  <c r="AY219" i="4" s="1"/>
  <c r="AY267" i="4" s="1"/>
  <c r="AA79" i="4"/>
  <c r="AA208" i="4" s="1"/>
  <c r="AA165" i="4"/>
  <c r="AZ6" i="4"/>
  <c r="AY67" i="4"/>
  <c r="AY68" i="4"/>
  <c r="AY70" i="4"/>
  <c r="AB47" i="4"/>
  <c r="AB244" i="4" s="1"/>
  <c r="AB73" i="4"/>
  <c r="AC16" i="4"/>
  <c r="AC18" i="4" s="1"/>
  <c r="AC22" i="4" s="1"/>
  <c r="AY11" i="4"/>
  <c r="AY20" i="4"/>
  <c r="AY61" i="4"/>
  <c r="AY63" i="4" s="1"/>
  <c r="AY38" i="4"/>
  <c r="AY12" i="4"/>
  <c r="BA60" i="3"/>
  <c r="AZ7" i="4"/>
  <c r="AZ62" i="3"/>
  <c r="AZ8" i="4" s="1"/>
  <c r="BA59" i="3"/>
  <c r="BA61" i="3" s="1"/>
  <c r="AZ151" i="4" l="1"/>
  <c r="AZ81" i="4" s="1"/>
  <c r="X263" i="4"/>
  <c r="X268" i="4" s="1"/>
  <c r="X270" i="4" s="1"/>
  <c r="AY150" i="4"/>
  <c r="AY153" i="4" s="1"/>
  <c r="AY105" i="4" s="1"/>
  <c r="AY106" i="4" s="1"/>
  <c r="AY107" i="4" s="1"/>
  <c r="AY188" i="4" s="1"/>
  <c r="AY189" i="4" s="1"/>
  <c r="Z113" i="4"/>
  <c r="AD169" i="4"/>
  <c r="AC168" i="4"/>
  <c r="AB167" i="4"/>
  <c r="AA166" i="4"/>
  <c r="AA170" i="4" s="1"/>
  <c r="AC135" i="4"/>
  <c r="AB100" i="4"/>
  <c r="U251" i="4"/>
  <c r="U252" i="4"/>
  <c r="V179" i="4"/>
  <c r="V182" i="4" s="1"/>
  <c r="V86" i="4" s="1"/>
  <c r="Y210" i="4"/>
  <c r="Y258" i="4" s="1"/>
  <c r="U119" i="4"/>
  <c r="AA83" i="4"/>
  <c r="AY192" i="4"/>
  <c r="AY195" i="4" s="1"/>
  <c r="AZ192" i="4" s="1"/>
  <c r="AX126" i="4"/>
  <c r="AZ180" i="4"/>
  <c r="AZ221" i="4" s="1"/>
  <c r="AZ193" i="4"/>
  <c r="AZ219" i="4" s="1"/>
  <c r="AZ267" i="4" s="1"/>
  <c r="AC136" i="4"/>
  <c r="BA6" i="4"/>
  <c r="AZ70" i="4"/>
  <c r="AZ67" i="4"/>
  <c r="AZ68" i="4"/>
  <c r="AB75" i="4"/>
  <c r="AB77" i="4" s="1"/>
  <c r="AC39" i="4"/>
  <c r="AC41" i="4" s="1"/>
  <c r="AC43" i="4" s="1"/>
  <c r="AC45" i="4" s="1"/>
  <c r="AC69" i="4"/>
  <c r="AD15" i="4"/>
  <c r="AD17" i="4" s="1"/>
  <c r="AZ12" i="4"/>
  <c r="AZ38" i="4"/>
  <c r="AZ61" i="4"/>
  <c r="AZ63" i="4" s="1"/>
  <c r="AZ20" i="4"/>
  <c r="AZ11" i="4"/>
  <c r="BB60" i="3"/>
  <c r="BA7" i="4"/>
  <c r="BA62" i="3"/>
  <c r="BA8" i="4" s="1"/>
  <c r="BB59" i="3"/>
  <c r="BB61" i="3" s="1"/>
  <c r="X265" i="4" l="1"/>
  <c r="X277" i="4"/>
  <c r="BA151" i="4"/>
  <c r="BA81" i="4" s="1"/>
  <c r="Y260" i="4"/>
  <c r="Y262" i="4" s="1"/>
  <c r="AZ150" i="4"/>
  <c r="AZ153" i="4" s="1"/>
  <c r="AZ105" i="4" s="1"/>
  <c r="AZ106" i="4" s="1"/>
  <c r="AZ107" i="4" s="1"/>
  <c r="AZ188" i="4" s="1"/>
  <c r="AZ189" i="4" s="1"/>
  <c r="Z209" i="4"/>
  <c r="Z210" i="4" s="1"/>
  <c r="Z258" i="4" s="1"/>
  <c r="AC137" i="4"/>
  <c r="AC141" i="4" s="1"/>
  <c r="AD138" i="4"/>
  <c r="AE139" i="4"/>
  <c r="AF140" i="4"/>
  <c r="AB164" i="4"/>
  <c r="AA113" i="4"/>
  <c r="V250" i="4"/>
  <c r="V218" i="4"/>
  <c r="V181" i="4"/>
  <c r="V183" i="4" s="1"/>
  <c r="V222" i="4" s="1"/>
  <c r="AY126" i="4"/>
  <c r="AZ195" i="4"/>
  <c r="BA192" i="4" s="1"/>
  <c r="BA180" i="4"/>
  <c r="BA221" i="4" s="1"/>
  <c r="BA193" i="4"/>
  <c r="BA219" i="4" s="1"/>
  <c r="BA267" i="4" s="1"/>
  <c r="AB79" i="4"/>
  <c r="AB208" i="4" s="1"/>
  <c r="AB165" i="4"/>
  <c r="AD16" i="4"/>
  <c r="AD18" i="4" s="1"/>
  <c r="AE15" i="4" s="1"/>
  <c r="BB6" i="4"/>
  <c r="BA68" i="4"/>
  <c r="BA67" i="4"/>
  <c r="BA70" i="4"/>
  <c r="AC47" i="4"/>
  <c r="AC244" i="4" s="1"/>
  <c r="AC73" i="4"/>
  <c r="AC75" i="4" s="1"/>
  <c r="AC77" i="4" s="1"/>
  <c r="BA12" i="4"/>
  <c r="BA38" i="4"/>
  <c r="BA20" i="4"/>
  <c r="BA11" i="4"/>
  <c r="BA61" i="4"/>
  <c r="BA63" i="4" s="1"/>
  <c r="BC60" i="3"/>
  <c r="BB7" i="4"/>
  <c r="BB62" i="3"/>
  <c r="BB8" i="4" s="1"/>
  <c r="BC59" i="3"/>
  <c r="BC61" i="3" s="1"/>
  <c r="BB151" i="4" l="1"/>
  <c r="BB81" i="4" s="1"/>
  <c r="Y263" i="4"/>
  <c r="Y268" i="4" s="1"/>
  <c r="Y270" i="4" s="1"/>
  <c r="Z260" i="4"/>
  <c r="Z262" i="4" s="1"/>
  <c r="BA150" i="4"/>
  <c r="BA153" i="4" s="1"/>
  <c r="BB150" i="4" s="1"/>
  <c r="AA209" i="4"/>
  <c r="AE169" i="4"/>
  <c r="AD168" i="4"/>
  <c r="AC167" i="4"/>
  <c r="AB166" i="4"/>
  <c r="AB170" i="4" s="1"/>
  <c r="AD135" i="4"/>
  <c r="AC100" i="4"/>
  <c r="V184" i="4"/>
  <c r="W179" i="4" s="1"/>
  <c r="AB83" i="4"/>
  <c r="AZ126" i="4"/>
  <c r="BA195" i="4"/>
  <c r="BA126" i="4" s="1"/>
  <c r="BB180" i="4"/>
  <c r="BB221" i="4" s="1"/>
  <c r="BB193" i="4"/>
  <c r="BB219" i="4" s="1"/>
  <c r="BB267" i="4" s="1"/>
  <c r="AC79" i="4"/>
  <c r="AC208" i="4" s="1"/>
  <c r="AC165" i="4"/>
  <c r="BC6" i="4"/>
  <c r="BB67" i="4"/>
  <c r="BB68" i="4"/>
  <c r="BB70" i="4"/>
  <c r="AD22" i="4"/>
  <c r="BD60" i="3"/>
  <c r="BC7" i="4"/>
  <c r="BC62" i="3"/>
  <c r="BC8" i="4" s="1"/>
  <c r="BB12" i="4"/>
  <c r="BB20" i="4"/>
  <c r="BB61" i="4"/>
  <c r="BB63" i="4" s="1"/>
  <c r="BB38" i="4"/>
  <c r="BB11" i="4"/>
  <c r="AE16" i="4"/>
  <c r="AE17" i="4"/>
  <c r="BD59" i="3"/>
  <c r="BD61" i="3" s="1"/>
  <c r="BC151" i="4" l="1"/>
  <c r="BC81" i="4" s="1"/>
  <c r="Y265" i="4"/>
  <c r="Y277" i="4"/>
  <c r="BB153" i="4"/>
  <c r="BC150" i="4" s="1"/>
  <c r="Z263" i="4"/>
  <c r="Z268" i="4" s="1"/>
  <c r="Z270" i="4" s="1"/>
  <c r="BA105" i="4"/>
  <c r="BA106" i="4" s="1"/>
  <c r="BA107" i="4" s="1"/>
  <c r="BA188" i="4" s="1"/>
  <c r="BA189" i="4" s="1"/>
  <c r="AC166" i="4"/>
  <c r="AE168" i="4"/>
  <c r="AD167" i="4"/>
  <c r="AF169" i="4"/>
  <c r="AC164" i="4"/>
  <c r="AB113" i="4"/>
  <c r="V118" i="4"/>
  <c r="AA210" i="4"/>
  <c r="AA258" i="4" s="1"/>
  <c r="W181" i="4"/>
  <c r="W182" i="4"/>
  <c r="W86" i="4" s="1"/>
  <c r="AC83" i="4"/>
  <c r="BB192" i="4"/>
  <c r="BB195" i="4" s="1"/>
  <c r="BC192" i="4" s="1"/>
  <c r="BC180" i="4"/>
  <c r="BC221" i="4" s="1"/>
  <c r="BC193" i="4"/>
  <c r="BC219" i="4" s="1"/>
  <c r="BC267" i="4" s="1"/>
  <c r="AD136" i="4"/>
  <c r="BD6" i="4"/>
  <c r="BC67" i="4"/>
  <c r="BC68" i="4"/>
  <c r="BC70" i="4"/>
  <c r="AD39" i="4"/>
  <c r="AD41" i="4" s="1"/>
  <c r="AD43" i="4" s="1"/>
  <c r="AD45" i="4" s="1"/>
  <c r="AD69" i="4"/>
  <c r="AE18" i="4"/>
  <c r="AF15" i="4" s="1"/>
  <c r="BC12" i="4"/>
  <c r="BC61" i="4"/>
  <c r="BC63" i="4" s="1"/>
  <c r="BC38" i="4"/>
  <c r="BC11" i="4"/>
  <c r="BC20" i="4"/>
  <c r="BE60" i="3"/>
  <c r="BD7" i="4"/>
  <c r="BD62" i="3"/>
  <c r="BD8" i="4" s="1"/>
  <c r="BE59" i="3"/>
  <c r="BE61" i="3" s="1"/>
  <c r="BD151" i="4" l="1"/>
  <c r="BD81" i="4" s="1"/>
  <c r="BC153" i="4"/>
  <c r="BC105" i="4" s="1"/>
  <c r="BC106" i="4" s="1"/>
  <c r="BC107" i="4" s="1"/>
  <c r="BC188" i="4" s="1"/>
  <c r="BC189" i="4" s="1"/>
  <c r="BB105" i="4"/>
  <c r="BB106" i="4" s="1"/>
  <c r="BB107" i="4" s="1"/>
  <c r="BB188" i="4" s="1"/>
  <c r="BB189" i="4" s="1"/>
  <c r="Z265" i="4"/>
  <c r="Z277" i="4"/>
  <c r="AA260" i="4"/>
  <c r="AA262" i="4" s="1"/>
  <c r="AB209" i="4"/>
  <c r="AC170" i="4"/>
  <c r="AD164" i="4" s="1"/>
  <c r="AD137" i="4"/>
  <c r="AD141" i="4" s="1"/>
  <c r="AE138" i="4"/>
  <c r="AF139" i="4"/>
  <c r="AG140" i="4"/>
  <c r="W250" i="4"/>
  <c r="V119" i="4"/>
  <c r="V251" i="4"/>
  <c r="V252" i="4"/>
  <c r="W218" i="4"/>
  <c r="W183" i="4"/>
  <c r="W222" i="4" s="1"/>
  <c r="BC195" i="4"/>
  <c r="BD192" i="4" s="1"/>
  <c r="BB126" i="4"/>
  <c r="BD180" i="4"/>
  <c r="BD221" i="4" s="1"/>
  <c r="BD193" i="4"/>
  <c r="BD219" i="4" s="1"/>
  <c r="BD267" i="4" s="1"/>
  <c r="BE6" i="4"/>
  <c r="BD67" i="4"/>
  <c r="BD68" i="4"/>
  <c r="BD70" i="4"/>
  <c r="AD47" i="4"/>
  <c r="AD244" i="4" s="1"/>
  <c r="AD73" i="4"/>
  <c r="AE22" i="4"/>
  <c r="BD11" i="4"/>
  <c r="BD61" i="4"/>
  <c r="BD63" i="4" s="1"/>
  <c r="BD12" i="4"/>
  <c r="BD38" i="4"/>
  <c r="BD20" i="4"/>
  <c r="AF16" i="4"/>
  <c r="AF17" i="4"/>
  <c r="BF60" i="3"/>
  <c r="BE7" i="4"/>
  <c r="BE62" i="3"/>
  <c r="BE8" i="4" s="1"/>
  <c r="BF59" i="3"/>
  <c r="BF61" i="3" s="1"/>
  <c r="BE151" i="4" l="1"/>
  <c r="BE81" i="4" s="1"/>
  <c r="BD150" i="4"/>
  <c r="BD153" i="4" s="1"/>
  <c r="BE150" i="4" s="1"/>
  <c r="AA263" i="4"/>
  <c r="AA268" i="4" s="1"/>
  <c r="AA270" i="4" s="1"/>
  <c r="AC113" i="4"/>
  <c r="AE135" i="4"/>
  <c r="AD100" i="4"/>
  <c r="AB210" i="4"/>
  <c r="AB258" i="4" s="1"/>
  <c r="W184" i="4"/>
  <c r="BC126" i="4"/>
  <c r="BD195" i="4"/>
  <c r="BE192" i="4" s="1"/>
  <c r="BE180" i="4"/>
  <c r="BE221" i="4" s="1"/>
  <c r="BE193" i="4"/>
  <c r="BE219" i="4" s="1"/>
  <c r="BE267" i="4" s="1"/>
  <c r="AE136" i="4"/>
  <c r="BF6" i="4"/>
  <c r="BE70" i="4"/>
  <c r="BE67" i="4"/>
  <c r="BE68" i="4"/>
  <c r="AD75" i="4"/>
  <c r="AD77" i="4" s="1"/>
  <c r="AE39" i="4"/>
  <c r="AE41" i="4" s="1"/>
  <c r="AE43" i="4" s="1"/>
  <c r="AE45" i="4" s="1"/>
  <c r="AE69" i="4"/>
  <c r="AF18" i="4"/>
  <c r="AG15" i="4" s="1"/>
  <c r="BE11" i="4"/>
  <c r="BE20" i="4"/>
  <c r="BE61" i="4"/>
  <c r="BE63" i="4" s="1"/>
  <c r="BE12" i="4"/>
  <c r="BE38" i="4"/>
  <c r="BG60" i="3"/>
  <c r="BF7" i="4"/>
  <c r="BF62" i="3"/>
  <c r="BF8" i="4" s="1"/>
  <c r="BG59" i="3"/>
  <c r="BG61" i="3" s="1"/>
  <c r="BD105" i="4" l="1"/>
  <c r="BD106" i="4" s="1"/>
  <c r="BD107" i="4" s="1"/>
  <c r="BD188" i="4" s="1"/>
  <c r="BD189" i="4" s="1"/>
  <c r="BE153" i="4"/>
  <c r="BE105" i="4" s="1"/>
  <c r="BF151" i="4"/>
  <c r="BF81" i="4" s="1"/>
  <c r="AA265" i="4"/>
  <c r="AA277" i="4"/>
  <c r="AB260" i="4"/>
  <c r="AB262" i="4" s="1"/>
  <c r="AC209" i="4"/>
  <c r="AE137" i="4"/>
  <c r="AE141" i="4" s="1"/>
  <c r="AF138" i="4"/>
  <c r="AG139" i="4"/>
  <c r="AH140" i="4"/>
  <c r="W118" i="4"/>
  <c r="X179" i="4"/>
  <c r="BD126" i="4"/>
  <c r="BE195" i="4"/>
  <c r="BE126" i="4" s="1"/>
  <c r="BF180" i="4"/>
  <c r="BF221" i="4" s="1"/>
  <c r="BF193" i="4"/>
  <c r="BF219" i="4" s="1"/>
  <c r="BF267" i="4" s="1"/>
  <c r="AD79" i="4"/>
  <c r="AD208" i="4" s="1"/>
  <c r="AD165" i="4"/>
  <c r="BG6" i="4"/>
  <c r="BF67" i="4"/>
  <c r="BF70" i="4"/>
  <c r="BF68" i="4"/>
  <c r="AE47" i="4"/>
  <c r="AE244" i="4" s="1"/>
  <c r="AE73" i="4"/>
  <c r="AE75" i="4" s="1"/>
  <c r="AE77" i="4" s="1"/>
  <c r="AF22" i="4"/>
  <c r="BF20" i="4"/>
  <c r="BF12" i="4"/>
  <c r="BF38" i="4"/>
  <c r="BF11" i="4"/>
  <c r="BF61" i="4"/>
  <c r="BF63" i="4" s="1"/>
  <c r="BH60" i="3"/>
  <c r="BG7" i="4"/>
  <c r="BG62" i="3"/>
  <c r="BG8" i="4" s="1"/>
  <c r="AG17" i="4"/>
  <c r="AG16" i="4"/>
  <c r="BH59" i="3"/>
  <c r="BH61" i="3" s="1"/>
  <c r="BG151" i="4" l="1"/>
  <c r="BG81" i="4" s="1"/>
  <c r="BF150" i="4"/>
  <c r="BF153" i="4" s="1"/>
  <c r="BF105" i="4" s="1"/>
  <c r="BF106" i="4" s="1"/>
  <c r="BF107" i="4" s="1"/>
  <c r="BF188" i="4" s="1"/>
  <c r="BF189" i="4" s="1"/>
  <c r="AB263" i="4"/>
  <c r="AB268" i="4" s="1"/>
  <c r="AB270" i="4" s="1"/>
  <c r="AE167" i="4"/>
  <c r="AF168" i="4"/>
  <c r="AG169" i="4"/>
  <c r="AD166" i="4"/>
  <c r="AD170" i="4" s="1"/>
  <c r="AF135" i="4"/>
  <c r="AE100" i="4"/>
  <c r="W251" i="4"/>
  <c r="W252" i="4"/>
  <c r="W119" i="4"/>
  <c r="X181" i="4"/>
  <c r="X182" i="4"/>
  <c r="X86" i="4" s="1"/>
  <c r="AD83" i="4"/>
  <c r="BF192" i="4"/>
  <c r="BF195" i="4" s="1"/>
  <c r="BG192" i="4" s="1"/>
  <c r="BG180" i="4"/>
  <c r="BG221" i="4" s="1"/>
  <c r="BG193" i="4"/>
  <c r="BG219" i="4" s="1"/>
  <c r="BG267" i="4" s="1"/>
  <c r="AE79" i="4"/>
  <c r="AE208" i="4" s="1"/>
  <c r="AE165" i="4"/>
  <c r="BE106" i="4"/>
  <c r="BE107" i="4" s="1"/>
  <c r="BE188" i="4" s="1"/>
  <c r="BE189" i="4" s="1"/>
  <c r="AF136" i="4"/>
  <c r="BH6" i="4"/>
  <c r="BG67" i="4"/>
  <c r="BG68" i="4"/>
  <c r="BG70" i="4"/>
  <c r="AF39" i="4"/>
  <c r="AF41" i="4" s="1"/>
  <c r="AF43" i="4" s="1"/>
  <c r="AF45" i="4" s="1"/>
  <c r="AF69" i="4"/>
  <c r="AG18" i="4"/>
  <c r="AG22" i="4" s="1"/>
  <c r="BI60" i="3"/>
  <c r="BH7" i="4"/>
  <c r="BH62" i="3"/>
  <c r="BH8" i="4" s="1"/>
  <c r="BG11" i="4"/>
  <c r="BG61" i="4"/>
  <c r="BG63" i="4" s="1"/>
  <c r="BG38" i="4"/>
  <c r="BG20" i="4"/>
  <c r="BG12" i="4"/>
  <c r="BI59" i="3"/>
  <c r="BI61" i="3" s="1"/>
  <c r="BG150" i="4" l="1"/>
  <c r="BH151" i="4"/>
  <c r="BH81" i="4" s="1"/>
  <c r="BG153" i="4"/>
  <c r="BH150" i="4" s="1"/>
  <c r="AB265" i="4"/>
  <c r="AB277" i="4"/>
  <c r="AF137" i="4"/>
  <c r="AF141" i="4" s="1"/>
  <c r="AG138" i="4"/>
  <c r="AH139" i="4"/>
  <c r="AI140" i="4"/>
  <c r="AE166" i="4"/>
  <c r="AG168" i="4"/>
  <c r="AH169" i="4"/>
  <c r="AF167" i="4"/>
  <c r="AE164" i="4"/>
  <c r="AD113" i="4"/>
  <c r="X250" i="4"/>
  <c r="AC210" i="4"/>
  <c r="AC258" i="4" s="1"/>
  <c r="X183" i="4"/>
  <c r="X222" i="4" s="1"/>
  <c r="AE83" i="4"/>
  <c r="BG195" i="4"/>
  <c r="BG126" i="4" s="1"/>
  <c r="BF126" i="4"/>
  <c r="BH180" i="4"/>
  <c r="BH221" i="4" s="1"/>
  <c r="BH193" i="4"/>
  <c r="BH219" i="4" s="1"/>
  <c r="BH267" i="4" s="1"/>
  <c r="AG136" i="4"/>
  <c r="BI6" i="4"/>
  <c r="BH70" i="4"/>
  <c r="BH67" i="4"/>
  <c r="BH68" i="4"/>
  <c r="AG39" i="4"/>
  <c r="AG41" i="4" s="1"/>
  <c r="AG43" i="4" s="1"/>
  <c r="AG45" i="4" s="1"/>
  <c r="AG69" i="4"/>
  <c r="AF47" i="4"/>
  <c r="AF244" i="4" s="1"/>
  <c r="AF73" i="4"/>
  <c r="AH15" i="4"/>
  <c r="AH16" i="4" s="1"/>
  <c r="BH12" i="4"/>
  <c r="BH38" i="4"/>
  <c r="BH11" i="4"/>
  <c r="BH20" i="4"/>
  <c r="BH61" i="4"/>
  <c r="BH63" i="4" s="1"/>
  <c r="BJ60" i="3"/>
  <c r="BI7" i="4"/>
  <c r="BI62" i="3"/>
  <c r="BI8" i="4" s="1"/>
  <c r="BJ59" i="3"/>
  <c r="BJ61" i="3" s="1"/>
  <c r="BI151" i="4" l="1"/>
  <c r="BI81" i="4" s="1"/>
  <c r="BG105" i="4"/>
  <c r="BG106" i="4" s="1"/>
  <c r="BG107" i="4" s="1"/>
  <c r="BG188" i="4" s="1"/>
  <c r="BG189" i="4" s="1"/>
  <c r="BH153" i="4"/>
  <c r="BI150" i="4" s="1"/>
  <c r="AC260" i="4"/>
  <c r="AC262" i="4" s="1"/>
  <c r="AD209" i="4"/>
  <c r="AD210" i="4" s="1"/>
  <c r="AD258" i="4" s="1"/>
  <c r="AE170" i="4"/>
  <c r="AE113" i="4" s="1"/>
  <c r="AG137" i="4"/>
  <c r="AH138" i="4"/>
  <c r="AI139" i="4"/>
  <c r="AJ140" i="4"/>
  <c r="AG135" i="4"/>
  <c r="AF100" i="4"/>
  <c r="X218" i="4"/>
  <c r="X184" i="4"/>
  <c r="BH192" i="4"/>
  <c r="BH195" i="4" s="1"/>
  <c r="BI192" i="4" s="1"/>
  <c r="BI180" i="4"/>
  <c r="BI221" i="4" s="1"/>
  <c r="BI193" i="4"/>
  <c r="BI219" i="4" s="1"/>
  <c r="BI267" i="4" s="1"/>
  <c r="BJ6" i="4"/>
  <c r="BI68" i="4"/>
  <c r="BI70" i="4"/>
  <c r="BI67" i="4"/>
  <c r="AG47" i="4"/>
  <c r="AG73" i="4"/>
  <c r="AG75" i="4" s="1"/>
  <c r="AG77" i="4" s="1"/>
  <c r="AF75" i="4"/>
  <c r="AF77" i="4" s="1"/>
  <c r="AH17" i="4"/>
  <c r="AH18" i="4" s="1"/>
  <c r="AI15" i="4" s="1"/>
  <c r="BI12" i="4"/>
  <c r="BI61" i="4"/>
  <c r="BI63" i="4" s="1"/>
  <c r="BI11" i="4"/>
  <c r="BI38" i="4"/>
  <c r="BI20" i="4"/>
  <c r="BK60" i="3"/>
  <c r="BJ7" i="4"/>
  <c r="BJ62" i="3"/>
  <c r="BJ8" i="4" s="1"/>
  <c r="BK59" i="3"/>
  <c r="BK61" i="3" s="1"/>
  <c r="BJ151" i="4" l="1"/>
  <c r="BJ81" i="4" s="1"/>
  <c r="BI153" i="4"/>
  <c r="BJ150" i="4" s="1"/>
  <c r="BH105" i="4"/>
  <c r="BH106" i="4" s="1"/>
  <c r="BH107" i="4" s="1"/>
  <c r="BH188" i="4" s="1"/>
  <c r="BH189" i="4" s="1"/>
  <c r="AC263" i="4"/>
  <c r="AC268" i="4" s="1"/>
  <c r="AC270" i="4" s="1"/>
  <c r="AD260" i="4"/>
  <c r="AD262" i="4" s="1"/>
  <c r="AE209" i="4"/>
  <c r="AG244" i="4"/>
  <c r="AG141" i="4"/>
  <c r="AH135" i="4" s="1"/>
  <c r="AF164" i="4"/>
  <c r="X118" i="4"/>
  <c r="Y179" i="4"/>
  <c r="BH126" i="4"/>
  <c r="BI195" i="4"/>
  <c r="BJ192" i="4" s="1"/>
  <c r="BJ180" i="4"/>
  <c r="BJ221" i="4" s="1"/>
  <c r="BJ193" i="4"/>
  <c r="BJ219" i="4" s="1"/>
  <c r="BJ267" i="4" s="1"/>
  <c r="AF79" i="4"/>
  <c r="AF208" i="4" s="1"/>
  <c r="AF165" i="4"/>
  <c r="AG79" i="4"/>
  <c r="AG165" i="4"/>
  <c r="BK6" i="4"/>
  <c r="BJ67" i="4"/>
  <c r="BJ68" i="4"/>
  <c r="BJ70" i="4"/>
  <c r="AH22" i="4"/>
  <c r="BL60" i="3"/>
  <c r="BK7" i="4"/>
  <c r="BK62" i="3"/>
  <c r="BK8" i="4" s="1"/>
  <c r="BJ12" i="4"/>
  <c r="BJ20" i="4"/>
  <c r="BJ61" i="4"/>
  <c r="BJ63" i="4" s="1"/>
  <c r="BJ11" i="4"/>
  <c r="BJ38" i="4"/>
  <c r="AI17" i="4"/>
  <c r="AI16" i="4"/>
  <c r="BL59" i="3"/>
  <c r="BL61" i="3" s="1"/>
  <c r="BK151" i="4" l="1"/>
  <c r="BK81" i="4" s="1"/>
  <c r="BJ153" i="4"/>
  <c r="BJ105" i="4" s="1"/>
  <c r="BI105" i="4"/>
  <c r="BI106" i="4" s="1"/>
  <c r="BI107" i="4" s="1"/>
  <c r="BI188" i="4" s="1"/>
  <c r="BI189" i="4" s="1"/>
  <c r="AC265" i="4"/>
  <c r="AC277" i="4"/>
  <c r="AD263" i="4"/>
  <c r="AD268" i="4" s="1"/>
  <c r="AD270" i="4" s="1"/>
  <c r="AG208" i="4"/>
  <c r="AG166" i="4"/>
  <c r="AJ169" i="4"/>
  <c r="AH167" i="4"/>
  <c r="AI168" i="4"/>
  <c r="AI169" i="4"/>
  <c r="AG167" i="4"/>
  <c r="AH168" i="4"/>
  <c r="AF166" i="4"/>
  <c r="AF170" i="4" s="1"/>
  <c r="AG100" i="4"/>
  <c r="X251" i="4"/>
  <c r="X252" i="4"/>
  <c r="Y182" i="4"/>
  <c r="Y86" i="4" s="1"/>
  <c r="Y181" i="4"/>
  <c r="X119" i="4"/>
  <c r="AF83" i="4"/>
  <c r="AG83" i="4"/>
  <c r="BJ195" i="4"/>
  <c r="BJ126" i="4" s="1"/>
  <c r="BI126" i="4"/>
  <c r="BK180" i="4"/>
  <c r="BK221" i="4" s="1"/>
  <c r="BK193" i="4"/>
  <c r="BK219" i="4" s="1"/>
  <c r="BK267" i="4" s="1"/>
  <c r="AH136" i="4"/>
  <c r="BL6" i="4"/>
  <c r="BK67" i="4"/>
  <c r="BK70" i="4"/>
  <c r="BK68" i="4"/>
  <c r="AH39" i="4"/>
  <c r="AH41" i="4" s="1"/>
  <c r="AH43" i="4" s="1"/>
  <c r="AH45" i="4" s="1"/>
  <c r="AH69" i="4"/>
  <c r="AI18" i="4"/>
  <c r="AJ15" i="4" s="1"/>
  <c r="BK12" i="4"/>
  <c r="BK38" i="4"/>
  <c r="BK11" i="4"/>
  <c r="BK20" i="4"/>
  <c r="BK61" i="4"/>
  <c r="BK63" i="4" s="1"/>
  <c r="BM60" i="3"/>
  <c r="BL7" i="4"/>
  <c r="BL62" i="3"/>
  <c r="BL8" i="4" s="1"/>
  <c r="BM59" i="3"/>
  <c r="BM61" i="3" s="1"/>
  <c r="BL151" i="4" l="1"/>
  <c r="BL81" i="4" s="1"/>
  <c r="BK150" i="4"/>
  <c r="BK153" i="4" s="1"/>
  <c r="BK105" i="4" s="1"/>
  <c r="BK106" i="4" s="1"/>
  <c r="BK107" i="4" s="1"/>
  <c r="BK188" i="4" s="1"/>
  <c r="BK189" i="4" s="1"/>
  <c r="AD265" i="4"/>
  <c r="AD277" i="4"/>
  <c r="AH137" i="4"/>
  <c r="AH141" i="4" s="1"/>
  <c r="AI138" i="4"/>
  <c r="AJ139" i="4"/>
  <c r="AK140" i="4"/>
  <c r="AF113" i="4"/>
  <c r="AG164" i="4"/>
  <c r="Y250" i="4"/>
  <c r="Y218" i="4"/>
  <c r="AE210" i="4"/>
  <c r="AE258" i="4" s="1"/>
  <c r="Y183" i="4"/>
  <c r="Y222" i="4" s="1"/>
  <c r="BK192" i="4"/>
  <c r="BK195" i="4" s="1"/>
  <c r="BL192" i="4" s="1"/>
  <c r="BL180" i="4"/>
  <c r="BL221" i="4" s="1"/>
  <c r="BL193" i="4"/>
  <c r="BL219" i="4" s="1"/>
  <c r="BL267" i="4" s="1"/>
  <c r="BJ106" i="4"/>
  <c r="BJ107" i="4" s="1"/>
  <c r="BJ188" i="4" s="1"/>
  <c r="BJ189" i="4" s="1"/>
  <c r="BM6" i="4"/>
  <c r="BL67" i="4"/>
  <c r="BL68" i="4"/>
  <c r="BL70" i="4"/>
  <c r="AH47" i="4"/>
  <c r="AH73" i="4"/>
  <c r="AI22" i="4"/>
  <c r="BL11" i="4"/>
  <c r="BL38" i="4"/>
  <c r="BL12" i="4"/>
  <c r="BL20" i="4"/>
  <c r="BL61" i="4"/>
  <c r="BL63" i="4" s="1"/>
  <c r="BN60" i="3"/>
  <c r="BM7" i="4"/>
  <c r="BM62" i="3"/>
  <c r="BM8" i="4" s="1"/>
  <c r="AJ17" i="4"/>
  <c r="AJ16" i="4"/>
  <c r="BN59" i="3"/>
  <c r="BN61" i="3" s="1"/>
  <c r="BL150" i="4" l="1"/>
  <c r="BM151" i="4"/>
  <c r="BM81" i="4" s="1"/>
  <c r="BL153" i="4"/>
  <c r="BL105" i="4" s="1"/>
  <c r="BL106" i="4" s="1"/>
  <c r="BL107" i="4" s="1"/>
  <c r="BL188" i="4" s="1"/>
  <c r="BL189" i="4" s="1"/>
  <c r="AE260" i="4"/>
  <c r="AE262" i="4" s="1"/>
  <c r="AF209" i="4"/>
  <c r="AF210" i="4" s="1"/>
  <c r="AF258" i="4" s="1"/>
  <c r="AH244" i="4"/>
  <c r="AG170" i="4"/>
  <c r="AH164" i="4" s="1"/>
  <c r="AI135" i="4"/>
  <c r="AH100" i="4"/>
  <c r="Y184" i="4"/>
  <c r="BK126" i="4"/>
  <c r="BL195" i="4"/>
  <c r="BM192" i="4" s="1"/>
  <c r="BM180" i="4"/>
  <c r="BM221" i="4" s="1"/>
  <c r="BM193" i="4"/>
  <c r="BM219" i="4" s="1"/>
  <c r="BM267" i="4" s="1"/>
  <c r="AI136" i="4"/>
  <c r="BN6" i="4"/>
  <c r="BM70" i="4"/>
  <c r="BM67" i="4"/>
  <c r="BM68" i="4"/>
  <c r="AI39" i="4"/>
  <c r="AI41" i="4" s="1"/>
  <c r="AI43" i="4" s="1"/>
  <c r="AI45" i="4" s="1"/>
  <c r="AI69" i="4"/>
  <c r="AH75" i="4"/>
  <c r="AH77" i="4" s="1"/>
  <c r="AJ18" i="4"/>
  <c r="AJ22" i="4" s="1"/>
  <c r="BM12" i="4"/>
  <c r="BM38" i="4"/>
  <c r="BM11" i="4"/>
  <c r="BM20" i="4"/>
  <c r="BM61" i="4"/>
  <c r="BM63" i="4" s="1"/>
  <c r="BO60" i="3"/>
  <c r="BN7" i="4"/>
  <c r="BN62" i="3"/>
  <c r="BN8" i="4" s="1"/>
  <c r="BO59" i="3"/>
  <c r="BO61" i="3" s="1"/>
  <c r="BM150" i="4" l="1"/>
  <c r="BN151" i="4"/>
  <c r="BN81" i="4" s="1"/>
  <c r="BM153" i="4"/>
  <c r="BN150" i="4" s="1"/>
  <c r="AE263" i="4"/>
  <c r="AE268" i="4" s="1"/>
  <c r="AE270" i="4" s="1"/>
  <c r="AF260" i="4"/>
  <c r="AF262" i="4" s="1"/>
  <c r="AG113" i="4"/>
  <c r="AI137" i="4"/>
  <c r="AI141" i="4" s="1"/>
  <c r="AJ138" i="4"/>
  <c r="AK139" i="4"/>
  <c r="AL140" i="4"/>
  <c r="Z179" i="4"/>
  <c r="Y118" i="4"/>
  <c r="BL126" i="4"/>
  <c r="BM195" i="4"/>
  <c r="BN192" i="4" s="1"/>
  <c r="BN180" i="4"/>
  <c r="BN221" i="4" s="1"/>
  <c r="BN193" i="4"/>
  <c r="BN219" i="4" s="1"/>
  <c r="BN267" i="4" s="1"/>
  <c r="AH79" i="4"/>
  <c r="AH165" i="4"/>
  <c r="BM105" i="4"/>
  <c r="AJ136" i="4"/>
  <c r="BO6" i="4"/>
  <c r="BN67" i="4"/>
  <c r="BN68" i="4"/>
  <c r="BN70" i="4"/>
  <c r="AJ39" i="4"/>
  <c r="AJ41" i="4" s="1"/>
  <c r="AJ43" i="4" s="1"/>
  <c r="AJ45" i="4" s="1"/>
  <c r="AJ69" i="4"/>
  <c r="AI47" i="4"/>
  <c r="AI73" i="4"/>
  <c r="AI75" i="4" s="1"/>
  <c r="AI77" i="4" s="1"/>
  <c r="AK15" i="4"/>
  <c r="AK17" i="4" s="1"/>
  <c r="BN20" i="4"/>
  <c r="BN61" i="4"/>
  <c r="BN63" i="4" s="1"/>
  <c r="BN12" i="4"/>
  <c r="BN38" i="4"/>
  <c r="BN11" i="4"/>
  <c r="BP60" i="3"/>
  <c r="BO7" i="4"/>
  <c r="BO151" i="4" s="1"/>
  <c r="BO81" i="4" s="1"/>
  <c r="BO62" i="3"/>
  <c r="BO8" i="4" s="1"/>
  <c r="BP59" i="3"/>
  <c r="BP61" i="3" s="1"/>
  <c r="BN153" i="4" l="1"/>
  <c r="BN105" i="4" s="1"/>
  <c r="BN106" i="4" s="1"/>
  <c r="BN107" i="4" s="1"/>
  <c r="BN188" i="4" s="1"/>
  <c r="BN189" i="4" s="1"/>
  <c r="AE265" i="4"/>
  <c r="AE277" i="4"/>
  <c r="AF263" i="4"/>
  <c r="AF268" i="4" s="1"/>
  <c r="AF270" i="4" s="1"/>
  <c r="AG209" i="4"/>
  <c r="AH208" i="4"/>
  <c r="AI244" i="4"/>
  <c r="AJ137" i="4"/>
  <c r="AK138" i="4"/>
  <c r="AL139" i="4"/>
  <c r="AM140" i="4"/>
  <c r="AK169" i="4"/>
  <c r="AJ168" i="4"/>
  <c r="AI167" i="4"/>
  <c r="AH166" i="4"/>
  <c r="AH170" i="4" s="1"/>
  <c r="AJ135" i="4"/>
  <c r="AI100" i="4"/>
  <c r="Y252" i="4"/>
  <c r="Y251" i="4"/>
  <c r="Y119" i="4"/>
  <c r="Z182" i="4"/>
  <c r="Z86" i="4" s="1"/>
  <c r="Z181" i="4"/>
  <c r="AH83" i="4"/>
  <c r="BM126" i="4"/>
  <c r="BN195" i="4"/>
  <c r="BO192" i="4" s="1"/>
  <c r="BO180" i="4"/>
  <c r="BO221" i="4" s="1"/>
  <c r="BO193" i="4"/>
  <c r="BO219" i="4" s="1"/>
  <c r="BO267" i="4" s="1"/>
  <c r="AI79" i="4"/>
  <c r="AI208" i="4" s="1"/>
  <c r="AI165" i="4"/>
  <c r="BM106" i="4"/>
  <c r="BM107" i="4" s="1"/>
  <c r="BM188" i="4" s="1"/>
  <c r="BM189" i="4" s="1"/>
  <c r="BO150" i="4"/>
  <c r="BO153" i="4" s="1"/>
  <c r="BP6" i="4"/>
  <c r="BO70" i="4"/>
  <c r="BO68" i="4"/>
  <c r="BO67" i="4"/>
  <c r="AJ47" i="4"/>
  <c r="AJ244" i="4" s="1"/>
  <c r="AJ73" i="4"/>
  <c r="AJ75" i="4" s="1"/>
  <c r="AJ77" i="4" s="1"/>
  <c r="AK16" i="4"/>
  <c r="AK18" i="4" s="1"/>
  <c r="BO11" i="4"/>
  <c r="BO61" i="4"/>
  <c r="BO63" i="4" s="1"/>
  <c r="BO20" i="4"/>
  <c r="BO38" i="4"/>
  <c r="BO12" i="4"/>
  <c r="BP62" i="3"/>
  <c r="BP8" i="4" s="1"/>
  <c r="BP7" i="4"/>
  <c r="BP151" i="4" s="1"/>
  <c r="BP81" i="4" s="1"/>
  <c r="I27" i="9" l="1"/>
  <c r="J27" i="9"/>
  <c r="AF265" i="4"/>
  <c r="AF277" i="4"/>
  <c r="I53" i="9"/>
  <c r="K53" i="9"/>
  <c r="J53" i="9"/>
  <c r="L53" i="9"/>
  <c r="M53" i="9"/>
  <c r="I44" i="9"/>
  <c r="K44" i="9"/>
  <c r="J44" i="9"/>
  <c r="L44" i="9"/>
  <c r="I38" i="9"/>
  <c r="L33" i="9"/>
  <c r="I33" i="9"/>
  <c r="J33" i="9"/>
  <c r="K33" i="9"/>
  <c r="I17" i="9"/>
  <c r="J17" i="9"/>
  <c r="K17" i="9"/>
  <c r="L17" i="9"/>
  <c r="M17" i="9"/>
  <c r="AJ141" i="4"/>
  <c r="AK135" i="4" s="1"/>
  <c r="AI166" i="4"/>
  <c r="AL169" i="4"/>
  <c r="AK168" i="4"/>
  <c r="AJ167" i="4"/>
  <c r="AI164" i="4"/>
  <c r="AH113" i="4"/>
  <c r="Z250" i="4"/>
  <c r="Z218" i="4"/>
  <c r="Z183" i="4"/>
  <c r="Z222" i="4" s="1"/>
  <c r="AG210" i="4"/>
  <c r="AG258" i="4" s="1"/>
  <c r="AI83" i="4"/>
  <c r="BO195" i="4"/>
  <c r="BP192" i="4" s="1"/>
  <c r="BN126" i="4"/>
  <c r="BP180" i="4"/>
  <c r="BP221" i="4" s="1"/>
  <c r="BP193" i="4"/>
  <c r="BP219" i="4" s="1"/>
  <c r="BP267" i="4" s="1"/>
  <c r="AJ79" i="4"/>
  <c r="AJ208" i="4" s="1"/>
  <c r="AJ165" i="4"/>
  <c r="BP150" i="4"/>
  <c r="BP153" i="4" s="1"/>
  <c r="BP105" i="4" s="1"/>
  <c r="BP106" i="4" s="1"/>
  <c r="BP107" i="4" s="1"/>
  <c r="BP188" i="4" s="1"/>
  <c r="BP189" i="4" s="1"/>
  <c r="BO105" i="4"/>
  <c r="BO106" i="4" s="1"/>
  <c r="BO107" i="4" s="1"/>
  <c r="BO188" i="4" s="1"/>
  <c r="BO189" i="4" s="1"/>
  <c r="BP70" i="4"/>
  <c r="BP67" i="4"/>
  <c r="BP68" i="4"/>
  <c r="AL15" i="4"/>
  <c r="AL16" i="4" s="1"/>
  <c r="AK22" i="4"/>
  <c r="BP12" i="4"/>
  <c r="BP38" i="4"/>
  <c r="BP11" i="4"/>
  <c r="BP20" i="4"/>
  <c r="BP61" i="4"/>
  <c r="BP63" i="4" s="1"/>
  <c r="AG260" i="4" l="1"/>
  <c r="AG262" i="4" s="1"/>
  <c r="H53" i="9"/>
  <c r="H17" i="9"/>
  <c r="AH209" i="4"/>
  <c r="M33" i="9"/>
  <c r="AI170" i="4"/>
  <c r="AJ164" i="4" s="1"/>
  <c r="AJ166" i="4"/>
  <c r="AM169" i="4"/>
  <c r="AL168" i="4"/>
  <c r="AK167" i="4"/>
  <c r="AJ100" i="4"/>
  <c r="Z184" i="4"/>
  <c r="Z118" i="4" s="1"/>
  <c r="AJ83" i="4"/>
  <c r="BP195" i="4"/>
  <c r="BP126" i="4" s="1"/>
  <c r="M44" i="9" s="1"/>
  <c r="BO126" i="4"/>
  <c r="AK136" i="4"/>
  <c r="AK39" i="4"/>
  <c r="AK41" i="4" s="1"/>
  <c r="AK43" i="4" s="1"/>
  <c r="AK45" i="4" s="1"/>
  <c r="AK69" i="4"/>
  <c r="AL17" i="4"/>
  <c r="AL18" i="4" s="1"/>
  <c r="AM15" i="4" s="1"/>
  <c r="AG263" i="4" l="1"/>
  <c r="AG268" i="4" s="1"/>
  <c r="AG270" i="4" s="1"/>
  <c r="AI113" i="4"/>
  <c r="AJ170" i="4"/>
  <c r="AJ113" i="4" s="1"/>
  <c r="AK137" i="4"/>
  <c r="AK141" i="4" s="1"/>
  <c r="AL138" i="4"/>
  <c r="AM139" i="4"/>
  <c r="AN140" i="4"/>
  <c r="Z252" i="4"/>
  <c r="Z251" i="4"/>
  <c r="AA179" i="4"/>
  <c r="AA181" i="4" s="1"/>
  <c r="AH210" i="4"/>
  <c r="AH258" i="4" s="1"/>
  <c r="Z119" i="4"/>
  <c r="AK47" i="4"/>
  <c r="AK244" i="4" s="1"/>
  <c r="AK73" i="4"/>
  <c r="AL22" i="4"/>
  <c r="AM16" i="4"/>
  <c r="AM17" i="4"/>
  <c r="AG265" i="4" l="1"/>
  <c r="AG277" i="4"/>
  <c r="AH260" i="4"/>
  <c r="AH262" i="4" s="1"/>
  <c r="AI209" i="4"/>
  <c r="AI210" i="4" s="1"/>
  <c r="AI258" i="4" s="1"/>
  <c r="AK164" i="4"/>
  <c r="AJ209" i="4"/>
  <c r="AL135" i="4"/>
  <c r="AK100" i="4"/>
  <c r="AA182" i="4"/>
  <c r="AA86" i="4" s="1"/>
  <c r="AL136" i="4"/>
  <c r="AL39" i="4"/>
  <c r="AL41" i="4" s="1"/>
  <c r="AL43" i="4" s="1"/>
  <c r="AL45" i="4" s="1"/>
  <c r="AL69" i="4"/>
  <c r="AK75" i="4"/>
  <c r="AK77" i="4" s="1"/>
  <c r="AM18" i="4"/>
  <c r="AN15" i="4" s="1"/>
  <c r="AH263" i="4" l="1"/>
  <c r="AH268" i="4" s="1"/>
  <c r="AH270" i="4" s="1"/>
  <c r="AI260" i="4"/>
  <c r="AI262" i="4" s="1"/>
  <c r="AL137" i="4"/>
  <c r="AL141" i="4" s="1"/>
  <c r="AM138" i="4"/>
  <c r="AN139" i="4"/>
  <c r="AO140" i="4"/>
  <c r="AA250" i="4"/>
  <c r="AA218" i="4"/>
  <c r="AA183" i="4"/>
  <c r="AA222" i="4" s="1"/>
  <c r="AK79" i="4"/>
  <c r="AK208" i="4" s="1"/>
  <c r="AK165" i="4"/>
  <c r="AL47" i="4"/>
  <c r="AL244" i="4" s="1"/>
  <c r="AL73" i="4"/>
  <c r="AM22" i="4"/>
  <c r="AN17" i="4"/>
  <c r="AN16" i="4"/>
  <c r="AH265" i="4" l="1"/>
  <c r="AH277" i="4"/>
  <c r="AI263" i="4"/>
  <c r="AI268" i="4" s="1"/>
  <c r="AI270" i="4" s="1"/>
  <c r="AM168" i="4"/>
  <c r="AL167" i="4"/>
  <c r="AN169" i="4"/>
  <c r="AK166" i="4"/>
  <c r="AK170" i="4" s="1"/>
  <c r="AM135" i="4"/>
  <c r="AL100" i="4"/>
  <c r="AA184" i="4"/>
  <c r="AK83" i="4"/>
  <c r="AM136" i="4"/>
  <c r="AL75" i="4"/>
  <c r="AL77" i="4" s="1"/>
  <c r="AM39" i="4"/>
  <c r="AM41" i="4" s="1"/>
  <c r="AM43" i="4" s="1"/>
  <c r="AM45" i="4" s="1"/>
  <c r="AM69" i="4"/>
  <c r="AN18" i="4"/>
  <c r="AO15" i="4" s="1"/>
  <c r="AI265" i="4" l="1"/>
  <c r="AI277" i="4"/>
  <c r="AM137" i="4"/>
  <c r="AM141" i="4" s="1"/>
  <c r="AN138" i="4"/>
  <c r="AO139" i="4"/>
  <c r="AP140" i="4"/>
  <c r="AL164" i="4"/>
  <c r="AK113" i="4"/>
  <c r="AA118" i="4"/>
  <c r="AB179" i="4"/>
  <c r="AJ210" i="4"/>
  <c r="AJ258" i="4" s="1"/>
  <c r="AL79" i="4"/>
  <c r="AL208" i="4" s="1"/>
  <c r="AL165" i="4"/>
  <c r="AM47" i="4"/>
  <c r="AM244" i="4" s="1"/>
  <c r="AM73" i="4"/>
  <c r="AN22" i="4"/>
  <c r="AO16" i="4"/>
  <c r="AO17" i="4"/>
  <c r="AJ260" i="4" l="1"/>
  <c r="AJ262" i="4" s="1"/>
  <c r="AK209" i="4"/>
  <c r="AM167" i="4"/>
  <c r="AO169" i="4"/>
  <c r="AN168" i="4"/>
  <c r="AL166" i="4"/>
  <c r="AN135" i="4"/>
  <c r="AM100" i="4"/>
  <c r="AA119" i="4"/>
  <c r="AA252" i="4"/>
  <c r="AA251" i="4"/>
  <c r="AB181" i="4"/>
  <c r="AB182" i="4"/>
  <c r="AB86" i="4" s="1"/>
  <c r="AL83" i="4"/>
  <c r="AN136" i="4"/>
  <c r="AM75" i="4"/>
  <c r="AM77" i="4" s="1"/>
  <c r="AN39" i="4"/>
  <c r="AN41" i="4" s="1"/>
  <c r="AN43" i="4" s="1"/>
  <c r="AN45" i="4" s="1"/>
  <c r="AN69" i="4"/>
  <c r="AO18" i="4"/>
  <c r="AP15" i="4" s="1"/>
  <c r="AJ263" i="4" l="1"/>
  <c r="AJ268" i="4" s="1"/>
  <c r="AJ270" i="4" s="1"/>
  <c r="AL170" i="4"/>
  <c r="AM164" i="4" s="1"/>
  <c r="AN137" i="4"/>
  <c r="AN141" i="4" s="1"/>
  <c r="AO138" i="4"/>
  <c r="AP139" i="4"/>
  <c r="AQ140" i="4"/>
  <c r="AB250" i="4"/>
  <c r="AB183" i="4"/>
  <c r="AB222" i="4" s="1"/>
  <c r="AB218" i="4"/>
  <c r="AK210" i="4"/>
  <c r="AK258" i="4" s="1"/>
  <c r="AM79" i="4"/>
  <c r="AM208" i="4" s="1"/>
  <c r="AM165" i="4"/>
  <c r="AN47" i="4"/>
  <c r="AN244" i="4" s="1"/>
  <c r="AN73" i="4"/>
  <c r="AO22" i="4"/>
  <c r="AP17" i="4"/>
  <c r="AP16" i="4"/>
  <c r="AJ265" i="4" l="1"/>
  <c r="AJ277" i="4"/>
  <c r="AK260" i="4"/>
  <c r="AK262" i="4" s="1"/>
  <c r="AL113" i="4"/>
  <c r="AN167" i="4"/>
  <c r="AO168" i="4"/>
  <c r="AP169" i="4"/>
  <c r="AM166" i="4"/>
  <c r="AM170" i="4" s="1"/>
  <c r="AO135" i="4"/>
  <c r="AN100" i="4"/>
  <c r="AB184" i="4"/>
  <c r="AB118" i="4" s="1"/>
  <c r="AM83" i="4"/>
  <c r="AO136" i="4"/>
  <c r="AN75" i="4"/>
  <c r="AN77" i="4" s="1"/>
  <c r="AO39" i="4"/>
  <c r="AO41" i="4" s="1"/>
  <c r="AO43" i="4" s="1"/>
  <c r="AO45" i="4" s="1"/>
  <c r="AO69" i="4"/>
  <c r="AP18" i="4"/>
  <c r="AP22" i="4" s="1"/>
  <c r="AK263" i="4" l="1"/>
  <c r="AK268" i="4" s="1"/>
  <c r="AK270" i="4" s="1"/>
  <c r="AL209" i="4"/>
  <c r="AL210" i="4" s="1"/>
  <c r="AL258" i="4" s="1"/>
  <c r="AO137" i="4"/>
  <c r="AO141" i="4" s="1"/>
  <c r="AP138" i="4"/>
  <c r="AQ139" i="4"/>
  <c r="AR140" i="4"/>
  <c r="AN164" i="4"/>
  <c r="AM113" i="4"/>
  <c r="AB119" i="4"/>
  <c r="AB252" i="4"/>
  <c r="AB251" i="4"/>
  <c r="AC179" i="4"/>
  <c r="AC182" i="4" s="1"/>
  <c r="AC86" i="4" s="1"/>
  <c r="AN79" i="4"/>
  <c r="AN208" i="4" s="1"/>
  <c r="AN165" i="4"/>
  <c r="AP136" i="4"/>
  <c r="AP39" i="4"/>
  <c r="AP41" i="4" s="1"/>
  <c r="AP43" i="4" s="1"/>
  <c r="AP45" i="4" s="1"/>
  <c r="AP69" i="4"/>
  <c r="AO47" i="4"/>
  <c r="AO244" i="4" s="1"/>
  <c r="AO73" i="4"/>
  <c r="AO75" i="4" s="1"/>
  <c r="AO77" i="4" s="1"/>
  <c r="AQ15" i="4"/>
  <c r="AQ17" i="4" s="1"/>
  <c r="AK265" i="4" l="1"/>
  <c r="AK277" i="4"/>
  <c r="AL260" i="4"/>
  <c r="AL262" i="4" s="1"/>
  <c r="AM209" i="4"/>
  <c r="AP137" i="4"/>
  <c r="AQ138" i="4"/>
  <c r="AR139" i="4"/>
  <c r="AS140" i="4"/>
  <c r="AO167" i="4"/>
  <c r="AP168" i="4"/>
  <c r="AQ169" i="4"/>
  <c r="AN166" i="4"/>
  <c r="AN170" i="4" s="1"/>
  <c r="AO100" i="4"/>
  <c r="AP135" i="4"/>
  <c r="AC250" i="4"/>
  <c r="AC218" i="4"/>
  <c r="AC181" i="4"/>
  <c r="AC183" i="4" s="1"/>
  <c r="AC222" i="4" s="1"/>
  <c r="AN83" i="4"/>
  <c r="AO79" i="4"/>
  <c r="AO208" i="4" s="1"/>
  <c r="AO165" i="4"/>
  <c r="AP47" i="4"/>
  <c r="AP244" i="4" s="1"/>
  <c r="AP73" i="4"/>
  <c r="AQ16" i="4"/>
  <c r="AQ18" i="4" s="1"/>
  <c r="AR15" i="4" s="1"/>
  <c r="AL263" i="4" l="1"/>
  <c r="AL268" i="4" s="1"/>
  <c r="AL270" i="4" s="1"/>
  <c r="AP141" i="4"/>
  <c r="AQ135" i="4" s="1"/>
  <c r="AO166" i="4"/>
  <c r="AR169" i="4"/>
  <c r="AQ168" i="4"/>
  <c r="AP167" i="4"/>
  <c r="AO164" i="4"/>
  <c r="AN113" i="4"/>
  <c r="AC184" i="4"/>
  <c r="AD179" i="4" s="1"/>
  <c r="AM210" i="4"/>
  <c r="AM258" i="4" s="1"/>
  <c r="AO83" i="4"/>
  <c r="AP75" i="4"/>
  <c r="AP77" i="4" s="1"/>
  <c r="AQ22" i="4"/>
  <c r="AR16" i="4"/>
  <c r="AR17" i="4"/>
  <c r="AL265" i="4" l="1"/>
  <c r="AL277" i="4"/>
  <c r="AM260" i="4"/>
  <c r="AM262" i="4" s="1"/>
  <c r="AN209" i="4"/>
  <c r="AN210" i="4" s="1"/>
  <c r="AN258" i="4" s="1"/>
  <c r="AO170" i="4"/>
  <c r="AO113" i="4" s="1"/>
  <c r="AP100" i="4"/>
  <c r="AC118" i="4"/>
  <c r="AD182" i="4"/>
  <c r="AD86" i="4" s="1"/>
  <c r="AD181" i="4"/>
  <c r="AP79" i="4"/>
  <c r="AP208" i="4" s="1"/>
  <c r="AP165" i="4"/>
  <c r="AQ136" i="4"/>
  <c r="AQ39" i="4"/>
  <c r="AQ41" i="4" s="1"/>
  <c r="AQ43" i="4" s="1"/>
  <c r="AQ45" i="4" s="1"/>
  <c r="AQ69" i="4"/>
  <c r="AR18" i="4"/>
  <c r="AS15" i="4" l="1"/>
  <c r="AS16" i="4" s="1"/>
  <c r="K27" i="9"/>
  <c r="AM263" i="4"/>
  <c r="AM268" i="4" s="1"/>
  <c r="AM270" i="4" s="1"/>
  <c r="AN260" i="4"/>
  <c r="AN262" i="4" s="1"/>
  <c r="AO209" i="4"/>
  <c r="AQ137" i="4"/>
  <c r="AQ141" i="4" s="1"/>
  <c r="AR138" i="4"/>
  <c r="AS139" i="4"/>
  <c r="AT140" i="4"/>
  <c r="AP164" i="4"/>
  <c r="AP166" i="4"/>
  <c r="AS169" i="4"/>
  <c r="AR168" i="4"/>
  <c r="AQ167" i="4"/>
  <c r="AD250" i="4"/>
  <c r="AC119" i="4"/>
  <c r="AC251" i="4"/>
  <c r="AC252" i="4"/>
  <c r="AD218" i="4"/>
  <c r="AD183" i="4"/>
  <c r="AD222" i="4" s="1"/>
  <c r="AP83" i="4"/>
  <c r="AQ47" i="4"/>
  <c r="AQ244" i="4" s="1"/>
  <c r="AQ73" i="4"/>
  <c r="AR22" i="4"/>
  <c r="AS17" i="4"/>
  <c r="AM265" i="4" l="1"/>
  <c r="AM277" i="4"/>
  <c r="AN263" i="4"/>
  <c r="AN268" i="4" s="1"/>
  <c r="AN270" i="4" s="1"/>
  <c r="AP170" i="4"/>
  <c r="AQ164" i="4" s="1"/>
  <c r="AR135" i="4"/>
  <c r="AQ100" i="4"/>
  <c r="AD184" i="4"/>
  <c r="AE179" i="4" s="1"/>
  <c r="AR136" i="4"/>
  <c r="AR39" i="4"/>
  <c r="AR41" i="4" s="1"/>
  <c r="AR43" i="4" s="1"/>
  <c r="AR45" i="4" s="1"/>
  <c r="AR69" i="4"/>
  <c r="AQ75" i="4"/>
  <c r="AQ77" i="4" s="1"/>
  <c r="AS18" i="4"/>
  <c r="AT15" i="4" s="1"/>
  <c r="AN265" i="4" l="1"/>
  <c r="AN277" i="4"/>
  <c r="AR137" i="4"/>
  <c r="AR141" i="4" s="1"/>
  <c r="AS138" i="4"/>
  <c r="AT139" i="4"/>
  <c r="AU140" i="4"/>
  <c r="AP113" i="4"/>
  <c r="AD118" i="4"/>
  <c r="AO210" i="4"/>
  <c r="AO258" i="4" s="1"/>
  <c r="AE182" i="4"/>
  <c r="AE86" i="4" s="1"/>
  <c r="AE181" i="4"/>
  <c r="AQ79" i="4"/>
  <c r="AQ208" i="4" s="1"/>
  <c r="AQ165" i="4"/>
  <c r="AR47" i="4"/>
  <c r="AR244" i="4" s="1"/>
  <c r="AR73" i="4"/>
  <c r="AS22" i="4"/>
  <c r="AT17" i="4"/>
  <c r="AT16" i="4"/>
  <c r="AO260" i="4" l="1"/>
  <c r="AO262" i="4" s="1"/>
  <c r="AO263" i="4" s="1"/>
  <c r="AO268" i="4" s="1"/>
  <c r="AO270" i="4" s="1"/>
  <c r="AP209" i="4"/>
  <c r="AT169" i="4"/>
  <c r="AS168" i="4"/>
  <c r="AR167" i="4"/>
  <c r="AQ166" i="4"/>
  <c r="AQ170" i="4" s="1"/>
  <c r="AS135" i="4"/>
  <c r="AR100" i="4"/>
  <c r="AE250" i="4"/>
  <c r="AD119" i="4"/>
  <c r="AD251" i="4"/>
  <c r="AD252" i="4"/>
  <c r="AE218" i="4"/>
  <c r="AE183" i="4"/>
  <c r="AE222" i="4" s="1"/>
  <c r="AQ83" i="4"/>
  <c r="AS136" i="4"/>
  <c r="AR75" i="4"/>
  <c r="AR77" i="4" s="1"/>
  <c r="AS39" i="4"/>
  <c r="AS41" i="4" s="1"/>
  <c r="AS43" i="4" s="1"/>
  <c r="AS45" i="4" s="1"/>
  <c r="AS69" i="4"/>
  <c r="AT18" i="4"/>
  <c r="AT22" i="4" s="1"/>
  <c r="AO265" i="4" l="1"/>
  <c r="AO277" i="4"/>
  <c r="AS137" i="4"/>
  <c r="AS141" i="4" s="1"/>
  <c r="AT138" i="4"/>
  <c r="AU139" i="4"/>
  <c r="AV140" i="4"/>
  <c r="AR164" i="4"/>
  <c r="AQ113" i="4"/>
  <c r="AE184" i="4"/>
  <c r="AF179" i="4" s="1"/>
  <c r="AP210" i="4"/>
  <c r="AP258" i="4" s="1"/>
  <c r="AR79" i="4"/>
  <c r="AR208" i="4" s="1"/>
  <c r="AR165" i="4"/>
  <c r="AT136" i="4"/>
  <c r="AS47" i="4"/>
  <c r="AS73" i="4"/>
  <c r="AT39" i="4"/>
  <c r="AT41" i="4" s="1"/>
  <c r="AT43" i="4" s="1"/>
  <c r="AT45" i="4" s="1"/>
  <c r="AT69" i="4"/>
  <c r="AU15" i="4"/>
  <c r="AU17" i="4" s="1"/>
  <c r="AP260" i="4" l="1"/>
  <c r="AP262" i="4" s="1"/>
  <c r="AQ209" i="4"/>
  <c r="AS244" i="4"/>
  <c r="AT137" i="4"/>
  <c r="AU138" i="4"/>
  <c r="AV139" i="4"/>
  <c r="AW140" i="4"/>
  <c r="AU169" i="4"/>
  <c r="AT168" i="4"/>
  <c r="AS167" i="4"/>
  <c r="AR166" i="4"/>
  <c r="AR170" i="4" s="1"/>
  <c r="AT135" i="4"/>
  <c r="AS100" i="4"/>
  <c r="AE118" i="4"/>
  <c r="AF181" i="4"/>
  <c r="AF182" i="4"/>
  <c r="AF86" i="4" s="1"/>
  <c r="AR83" i="4"/>
  <c r="AT47" i="4"/>
  <c r="AT244" i="4" s="1"/>
  <c r="AT73" i="4"/>
  <c r="AT75" i="4" s="1"/>
  <c r="AT77" i="4" s="1"/>
  <c r="AS75" i="4"/>
  <c r="AS77" i="4" s="1"/>
  <c r="AU16" i="4"/>
  <c r="AU18" i="4" s="1"/>
  <c r="AV15" i="4" s="1"/>
  <c r="AP263" i="4" l="1"/>
  <c r="AP268" i="4" s="1"/>
  <c r="AP270" i="4" s="1"/>
  <c r="AT141" i="4"/>
  <c r="AU135" i="4" s="1"/>
  <c r="AR113" i="4"/>
  <c r="AS164" i="4"/>
  <c r="AF250" i="4"/>
  <c r="AF218" i="4"/>
  <c r="AE119" i="4"/>
  <c r="AE251" i="4"/>
  <c r="AE252" i="4"/>
  <c r="AQ210" i="4"/>
  <c r="AQ258" i="4" s="1"/>
  <c r="AF183" i="4"/>
  <c r="AF222" i="4" s="1"/>
  <c r="AS79" i="4"/>
  <c r="AS165" i="4"/>
  <c r="AT79" i="4"/>
  <c r="AT208" i="4" s="1"/>
  <c r="AT165" i="4"/>
  <c r="AU22" i="4"/>
  <c r="AV17" i="4"/>
  <c r="AV16" i="4"/>
  <c r="AP265" i="4" l="1"/>
  <c r="AP277" i="4"/>
  <c r="AQ260" i="4"/>
  <c r="AQ262" i="4" s="1"/>
  <c r="AR209" i="4"/>
  <c r="AS208" i="4"/>
  <c r="AT166" i="4"/>
  <c r="AU167" i="4"/>
  <c r="AV168" i="4"/>
  <c r="AW169" i="4"/>
  <c r="AU168" i="4"/>
  <c r="AT167" i="4"/>
  <c r="AV169" i="4"/>
  <c r="AS166" i="4"/>
  <c r="AS170" i="4" s="1"/>
  <c r="AT100" i="4"/>
  <c r="AF184" i="4"/>
  <c r="AF118" i="4" s="1"/>
  <c r="AT83" i="4"/>
  <c r="AS83" i="4"/>
  <c r="AU136" i="4"/>
  <c r="AU39" i="4"/>
  <c r="AU41" i="4" s="1"/>
  <c r="AU43" i="4" s="1"/>
  <c r="AU45" i="4" s="1"/>
  <c r="AU69" i="4"/>
  <c r="AV18" i="4"/>
  <c r="AW15" i="4" s="1"/>
  <c r="AQ263" i="4" l="1"/>
  <c r="AQ268" i="4" s="1"/>
  <c r="AQ270" i="4" s="1"/>
  <c r="AU137" i="4"/>
  <c r="AU141" i="4" s="1"/>
  <c r="AV138" i="4"/>
  <c r="AW139" i="4"/>
  <c r="AX140" i="4"/>
  <c r="AS113" i="4"/>
  <c r="AT164" i="4"/>
  <c r="AF119" i="4"/>
  <c r="J38" i="9" s="1"/>
  <c r="AF252" i="4"/>
  <c r="AF251" i="4"/>
  <c r="AG179" i="4"/>
  <c r="AG182" i="4" s="1"/>
  <c r="AG86" i="4" s="1"/>
  <c r="AR210" i="4"/>
  <c r="AR258" i="4" s="1"/>
  <c r="AU47" i="4"/>
  <c r="AU73" i="4"/>
  <c r="AV22" i="4"/>
  <c r="AW16" i="4"/>
  <c r="AW17" i="4"/>
  <c r="AQ265" i="4" l="1"/>
  <c r="AQ277" i="4"/>
  <c r="AR260" i="4"/>
  <c r="AR262" i="4" s="1"/>
  <c r="AS209" i="4"/>
  <c r="AS210" i="4" s="1"/>
  <c r="AS258" i="4" s="1"/>
  <c r="AU244" i="4"/>
  <c r="AT170" i="4"/>
  <c r="AT113" i="4" s="1"/>
  <c r="AU100" i="4"/>
  <c r="AV135" i="4"/>
  <c r="AG250" i="4"/>
  <c r="AG218" i="4"/>
  <c r="AG181" i="4"/>
  <c r="AG183" i="4" s="1"/>
  <c r="AG222" i="4" s="1"/>
  <c r="AV136" i="4"/>
  <c r="AV39" i="4"/>
  <c r="AV41" i="4" s="1"/>
  <c r="AV43" i="4" s="1"/>
  <c r="AV45" i="4" s="1"/>
  <c r="AV69" i="4"/>
  <c r="AU75" i="4"/>
  <c r="AU77" i="4" s="1"/>
  <c r="AW18" i="4"/>
  <c r="AX15" i="4" s="1"/>
  <c r="AR263" i="4" l="1"/>
  <c r="AR268" i="4" s="1"/>
  <c r="AR270" i="4" s="1"/>
  <c r="AS260" i="4"/>
  <c r="AS262" i="4" s="1"/>
  <c r="AU164" i="4"/>
  <c r="AT209" i="4"/>
  <c r="AV137" i="4"/>
  <c r="AV141" i="4" s="1"/>
  <c r="AW138" i="4"/>
  <c r="AX139" i="4"/>
  <c r="AY140" i="4"/>
  <c r="AG184" i="4"/>
  <c r="AU79" i="4"/>
  <c r="AU165" i="4"/>
  <c r="AV47" i="4"/>
  <c r="AV73" i="4"/>
  <c r="AW22" i="4"/>
  <c r="AX17" i="4"/>
  <c r="AX16" i="4"/>
  <c r="AR265" i="4" l="1"/>
  <c r="AR277" i="4"/>
  <c r="AS263" i="4"/>
  <c r="AS268" i="4" s="1"/>
  <c r="AS270" i="4" s="1"/>
  <c r="AU208" i="4"/>
  <c r="AV244" i="4"/>
  <c r="AW168" i="4"/>
  <c r="AX169" i="4"/>
  <c r="AV167" i="4"/>
  <c r="AU166" i="4"/>
  <c r="AU170" i="4" s="1"/>
  <c r="AW135" i="4"/>
  <c r="AV100" i="4"/>
  <c r="AH179" i="4"/>
  <c r="AG118" i="4"/>
  <c r="AU83" i="4"/>
  <c r="AW136" i="4"/>
  <c r="AV75" i="4"/>
  <c r="AV77" i="4" s="1"/>
  <c r="AW39" i="4"/>
  <c r="AW41" i="4" s="1"/>
  <c r="AW43" i="4" s="1"/>
  <c r="AW45" i="4" s="1"/>
  <c r="AW69" i="4"/>
  <c r="AX18" i="4"/>
  <c r="AY15" i="4" s="1"/>
  <c r="AS265" i="4" l="1"/>
  <c r="AS277" i="4"/>
  <c r="AW137" i="4"/>
  <c r="AW141" i="4" s="1"/>
  <c r="AX138" i="4"/>
  <c r="AY139" i="4"/>
  <c r="AZ140" i="4"/>
  <c r="AV164" i="4"/>
  <c r="AU113" i="4"/>
  <c r="AG119" i="4"/>
  <c r="AG252" i="4"/>
  <c r="AG251" i="4"/>
  <c r="AT210" i="4"/>
  <c r="AT258" i="4" s="1"/>
  <c r="AH182" i="4"/>
  <c r="AH86" i="4" s="1"/>
  <c r="AH181" i="4"/>
  <c r="AV79" i="4"/>
  <c r="AV165" i="4"/>
  <c r="AW47" i="4"/>
  <c r="AW73" i="4"/>
  <c r="AX22" i="4"/>
  <c r="AY17" i="4"/>
  <c r="AY16" i="4"/>
  <c r="AT260" i="4" l="1"/>
  <c r="AT262" i="4" s="1"/>
  <c r="AT263" i="4" s="1"/>
  <c r="AT268" i="4" s="1"/>
  <c r="AT270" i="4" s="1"/>
  <c r="AU209" i="4"/>
  <c r="AV208" i="4"/>
  <c r="AW244" i="4"/>
  <c r="AY169" i="4"/>
  <c r="AW167" i="4"/>
  <c r="AX168" i="4"/>
  <c r="AV166" i="4"/>
  <c r="AV170" i="4" s="1"/>
  <c r="AX135" i="4"/>
  <c r="AW100" i="4"/>
  <c r="AH250" i="4"/>
  <c r="AH218" i="4"/>
  <c r="AH183" i="4"/>
  <c r="AH222" i="4" s="1"/>
  <c r="AV83" i="4"/>
  <c r="AX136" i="4"/>
  <c r="AX39" i="4"/>
  <c r="AX41" i="4" s="1"/>
  <c r="AX43" i="4" s="1"/>
  <c r="AX45" i="4" s="1"/>
  <c r="AX69" i="4"/>
  <c r="AW75" i="4"/>
  <c r="AW77" i="4" s="1"/>
  <c r="AY18" i="4"/>
  <c r="AY22" i="4" s="1"/>
  <c r="AT265" i="4" l="1"/>
  <c r="AT277" i="4"/>
  <c r="AX137" i="4"/>
  <c r="AX141" i="4" s="1"/>
  <c r="AY138" i="4"/>
  <c r="AZ139" i="4"/>
  <c r="BA140" i="4"/>
  <c r="AW164" i="4"/>
  <c r="AV113" i="4"/>
  <c r="AH184" i="4"/>
  <c r="AH118" i="4" s="1"/>
  <c r="AU210" i="4"/>
  <c r="AU258" i="4" s="1"/>
  <c r="AW79" i="4"/>
  <c r="AW208" i="4" s="1"/>
  <c r="AW165" i="4"/>
  <c r="AY136" i="4"/>
  <c r="AY39" i="4"/>
  <c r="AY41" i="4" s="1"/>
  <c r="AY43" i="4" s="1"/>
  <c r="AY45" i="4" s="1"/>
  <c r="AY69" i="4"/>
  <c r="AX47" i="4"/>
  <c r="AX244" i="4" s="1"/>
  <c r="AX73" i="4"/>
  <c r="AX75" i="4" s="1"/>
  <c r="AX77" i="4" s="1"/>
  <c r="AZ15" i="4"/>
  <c r="AZ17" i="4" s="1"/>
  <c r="AU260" i="4" l="1"/>
  <c r="AU262" i="4" s="1"/>
  <c r="AV209" i="4"/>
  <c r="AY137" i="4"/>
  <c r="AZ138" i="4"/>
  <c r="BA139" i="4"/>
  <c r="BB140" i="4"/>
  <c r="AZ169" i="4"/>
  <c r="AX167" i="4"/>
  <c r="AY168" i="4"/>
  <c r="AW166" i="4"/>
  <c r="AW170" i="4" s="1"/>
  <c r="AY135" i="4"/>
  <c r="AX100" i="4"/>
  <c r="AH119" i="4"/>
  <c r="AH252" i="4"/>
  <c r="AH251" i="4"/>
  <c r="AI179" i="4"/>
  <c r="AI182" i="4" s="1"/>
  <c r="AI86" i="4" s="1"/>
  <c r="AW83" i="4"/>
  <c r="AX79" i="4"/>
  <c r="AX208" i="4" s="1"/>
  <c r="AX165" i="4"/>
  <c r="AY47" i="4"/>
  <c r="AY244" i="4" s="1"/>
  <c r="AY73" i="4"/>
  <c r="AZ16" i="4"/>
  <c r="AZ18" i="4" s="1"/>
  <c r="BA15" i="4" s="1"/>
  <c r="AU263" i="4" l="1"/>
  <c r="AU268" i="4" s="1"/>
  <c r="AU270" i="4" s="1"/>
  <c r="AY141" i="4"/>
  <c r="AZ135" i="4" s="1"/>
  <c r="AX166" i="4"/>
  <c r="BA169" i="4"/>
  <c r="AZ168" i="4"/>
  <c r="AY167" i="4"/>
  <c r="AX164" i="4"/>
  <c r="AW113" i="4"/>
  <c r="AI250" i="4"/>
  <c r="AI218" i="4"/>
  <c r="AI181" i="4"/>
  <c r="AI183" i="4" s="1"/>
  <c r="AI222" i="4" s="1"/>
  <c r="AV210" i="4"/>
  <c r="AV258" i="4" s="1"/>
  <c r="AX83" i="4"/>
  <c r="AY75" i="4"/>
  <c r="AY77" i="4" s="1"/>
  <c r="AZ22" i="4"/>
  <c r="BA16" i="4"/>
  <c r="BA17" i="4"/>
  <c r="AU265" i="4" l="1"/>
  <c r="AU277" i="4"/>
  <c r="AV260" i="4"/>
  <c r="AV262" i="4" s="1"/>
  <c r="AW209" i="4"/>
  <c r="AX170" i="4"/>
  <c r="AY164" i="4" s="1"/>
  <c r="AY100" i="4"/>
  <c r="AI184" i="4"/>
  <c r="AJ179" i="4" s="1"/>
  <c r="AJ182" i="4" s="1"/>
  <c r="AJ86" i="4" s="1"/>
  <c r="AY79" i="4"/>
  <c r="AY208" i="4" s="1"/>
  <c r="AY165" i="4"/>
  <c r="AZ136" i="4"/>
  <c r="AZ39" i="4"/>
  <c r="AZ41" i="4" s="1"/>
  <c r="AZ43" i="4" s="1"/>
  <c r="AZ45" i="4" s="1"/>
  <c r="AZ69" i="4"/>
  <c r="BA18" i="4"/>
  <c r="BB15" i="4" s="1"/>
  <c r="AV263" i="4" l="1"/>
  <c r="AV268" i="4" s="1"/>
  <c r="AV270" i="4" s="1"/>
  <c r="AZ137" i="4"/>
  <c r="AZ141" i="4" s="1"/>
  <c r="BA138" i="4"/>
  <c r="BB139" i="4"/>
  <c r="BC140" i="4"/>
  <c r="AX113" i="4"/>
  <c r="BB169" i="4"/>
  <c r="BA168" i="4"/>
  <c r="AZ167" i="4"/>
  <c r="AY166" i="4"/>
  <c r="AY170" i="4" s="1"/>
  <c r="AJ250" i="4"/>
  <c r="AJ181" i="4"/>
  <c r="AJ183" i="4" s="1"/>
  <c r="AJ222" i="4" s="1"/>
  <c r="AI118" i="4"/>
  <c r="AW210" i="4"/>
  <c r="AW258" i="4" s="1"/>
  <c r="AY83" i="4"/>
  <c r="AZ47" i="4"/>
  <c r="AZ244" i="4" s="1"/>
  <c r="AZ73" i="4"/>
  <c r="AZ75" i="4" s="1"/>
  <c r="AZ77" i="4" s="1"/>
  <c r="BA22" i="4"/>
  <c r="BB17" i="4"/>
  <c r="BB16" i="4"/>
  <c r="AV265" i="4" l="1"/>
  <c r="AV277" i="4"/>
  <c r="AW260" i="4"/>
  <c r="AW262" i="4" s="1"/>
  <c r="AX209" i="4"/>
  <c r="AX210" i="4" s="1"/>
  <c r="AX258" i="4" s="1"/>
  <c r="AZ164" i="4"/>
  <c r="AY113" i="4"/>
  <c r="BA135" i="4"/>
  <c r="AZ100" i="4"/>
  <c r="AJ218" i="4"/>
  <c r="AI119" i="4"/>
  <c r="AI252" i="4"/>
  <c r="AI251" i="4"/>
  <c r="AJ184" i="4"/>
  <c r="AJ118" i="4" s="1"/>
  <c r="AZ79" i="4"/>
  <c r="AZ208" i="4" s="1"/>
  <c r="AZ165" i="4"/>
  <c r="BA136" i="4"/>
  <c r="BA39" i="4"/>
  <c r="BA41" i="4" s="1"/>
  <c r="BA43" i="4" s="1"/>
  <c r="BA45" i="4" s="1"/>
  <c r="BA69" i="4"/>
  <c r="BB18" i="4"/>
  <c r="BC15" i="4" s="1"/>
  <c r="AW263" i="4" l="1"/>
  <c r="AW268" i="4" s="1"/>
  <c r="AW270" i="4" s="1"/>
  <c r="AX260" i="4"/>
  <c r="AX262" i="4" s="1"/>
  <c r="AY209" i="4"/>
  <c r="BA137" i="4"/>
  <c r="BA141" i="4" s="1"/>
  <c r="BB138" i="4"/>
  <c r="BC139" i="4"/>
  <c r="BD140" i="4"/>
  <c r="BC169" i="4"/>
  <c r="BB168" i="4"/>
  <c r="BA167" i="4"/>
  <c r="AZ166" i="4"/>
  <c r="AZ170" i="4" s="1"/>
  <c r="AJ252" i="4"/>
  <c r="AJ251" i="4"/>
  <c r="AK179" i="4"/>
  <c r="AK182" i="4" s="1"/>
  <c r="AK86" i="4" s="1"/>
  <c r="AJ119" i="4"/>
  <c r="AZ83" i="4"/>
  <c r="BA47" i="4"/>
  <c r="BA244" i="4" s="1"/>
  <c r="BA73" i="4"/>
  <c r="BB22" i="4"/>
  <c r="BC16" i="4"/>
  <c r="BC17" i="4"/>
  <c r="AW265" i="4" l="1"/>
  <c r="AW277" i="4"/>
  <c r="AX263" i="4"/>
  <c r="AX268" i="4" s="1"/>
  <c r="AX270" i="4" s="1"/>
  <c r="BA164" i="4"/>
  <c r="AZ113" i="4"/>
  <c r="BB135" i="4"/>
  <c r="BA100" i="4"/>
  <c r="AK250" i="4"/>
  <c r="AK181" i="4"/>
  <c r="AK183" i="4" s="1"/>
  <c r="AK222" i="4" s="1"/>
  <c r="AY210" i="4"/>
  <c r="AY258" i="4" s="1"/>
  <c r="BB136" i="4"/>
  <c r="BB39" i="4"/>
  <c r="BB41" i="4" s="1"/>
  <c r="BB43" i="4" s="1"/>
  <c r="BB45" i="4" s="1"/>
  <c r="BB69" i="4"/>
  <c r="BA75" i="4"/>
  <c r="BA77" i="4" s="1"/>
  <c r="BC18" i="4"/>
  <c r="BC22" i="4" s="1"/>
  <c r="AX265" i="4" l="1"/>
  <c r="AX277" i="4"/>
  <c r="AY260" i="4"/>
  <c r="AY262" i="4" s="1"/>
  <c r="AY263" i="4" s="1"/>
  <c r="AY268" i="4" s="1"/>
  <c r="AY270" i="4" s="1"/>
  <c r="AZ209" i="4"/>
  <c r="BB137" i="4"/>
  <c r="BB141" i="4" s="1"/>
  <c r="BC138" i="4"/>
  <c r="BD139" i="4"/>
  <c r="BE140" i="4"/>
  <c r="AK218" i="4"/>
  <c r="AK184" i="4"/>
  <c r="AL179" i="4" s="1"/>
  <c r="BA79" i="4"/>
  <c r="BA208" i="4" s="1"/>
  <c r="BA165" i="4"/>
  <c r="BC136" i="4"/>
  <c r="BB47" i="4"/>
  <c r="BB244" i="4" s="1"/>
  <c r="BB73" i="4"/>
  <c r="BC39" i="4"/>
  <c r="BC41" i="4" s="1"/>
  <c r="BC43" i="4" s="1"/>
  <c r="BC45" i="4" s="1"/>
  <c r="BC69" i="4"/>
  <c r="BD15" i="4"/>
  <c r="BD16" i="4" s="1"/>
  <c r="AY265" i="4" l="1"/>
  <c r="AY277" i="4"/>
  <c r="BF140" i="4"/>
  <c r="BC137" i="4"/>
  <c r="BD138" i="4"/>
  <c r="BE139" i="4"/>
  <c r="BC168" i="4"/>
  <c r="BB167" i="4"/>
  <c r="BD169" i="4"/>
  <c r="BA166" i="4"/>
  <c r="BA170" i="4" s="1"/>
  <c r="BC135" i="4"/>
  <c r="BB100" i="4"/>
  <c r="AK118" i="4"/>
  <c r="AL181" i="4"/>
  <c r="AL182" i="4"/>
  <c r="AL86" i="4" s="1"/>
  <c r="BA83" i="4"/>
  <c r="BB75" i="4"/>
  <c r="BB77" i="4" s="1"/>
  <c r="BC47" i="4"/>
  <c r="BC244" i="4" s="1"/>
  <c r="BC73" i="4"/>
  <c r="BC75" i="4" s="1"/>
  <c r="BC77" i="4" s="1"/>
  <c r="BD17" i="4"/>
  <c r="BD18" i="4" s="1"/>
  <c r="BE15" i="4" l="1"/>
  <c r="BE17" i="4" s="1"/>
  <c r="L27" i="9"/>
  <c r="BC141" i="4"/>
  <c r="BD135" i="4" s="1"/>
  <c r="BB164" i="4"/>
  <c r="BA113" i="4"/>
  <c r="AL250" i="4"/>
  <c r="AL218" i="4"/>
  <c r="AK119" i="4"/>
  <c r="AK251" i="4"/>
  <c r="AK252" i="4"/>
  <c r="AZ210" i="4"/>
  <c r="AZ258" i="4" s="1"/>
  <c r="AL183" i="4"/>
  <c r="AL222" i="4" s="1"/>
  <c r="BC79" i="4"/>
  <c r="BC208" i="4" s="1"/>
  <c r="BC165" i="4"/>
  <c r="BB79" i="4"/>
  <c r="BB208" i="4" s="1"/>
  <c r="BB165" i="4"/>
  <c r="BD22" i="4"/>
  <c r="BE16" i="4" l="1"/>
  <c r="AZ260" i="4"/>
  <c r="AZ262" i="4" s="1"/>
  <c r="BA209" i="4"/>
  <c r="BC166" i="4"/>
  <c r="BD167" i="4"/>
  <c r="BE168" i="4"/>
  <c r="BF169" i="4"/>
  <c r="BC167" i="4"/>
  <c r="BE169" i="4"/>
  <c r="BD168" i="4"/>
  <c r="BB166" i="4"/>
  <c r="BC100" i="4"/>
  <c r="AL184" i="4"/>
  <c r="BC83" i="4"/>
  <c r="BB83" i="4"/>
  <c r="BD136" i="4"/>
  <c r="BD39" i="4"/>
  <c r="BD41" i="4" s="1"/>
  <c r="BD43" i="4" s="1"/>
  <c r="BD45" i="4" s="1"/>
  <c r="BD69" i="4"/>
  <c r="BE18" i="4"/>
  <c r="BF15" i="4" s="1"/>
  <c r="AZ263" i="4" l="1"/>
  <c r="AZ268" i="4" s="1"/>
  <c r="AZ270" i="4" s="1"/>
  <c r="BB170" i="4"/>
  <c r="BB113" i="4" s="1"/>
  <c r="BD137" i="4"/>
  <c r="BD141" i="4" s="1"/>
  <c r="BE138" i="4"/>
  <c r="BF139" i="4"/>
  <c r="BG140" i="4"/>
  <c r="BA210" i="4"/>
  <c r="BA258" i="4" s="1"/>
  <c r="AL118" i="4"/>
  <c r="AM179" i="4"/>
  <c r="BD47" i="4"/>
  <c r="BD244" i="4" s="1"/>
  <c r="BD73" i="4"/>
  <c r="BE22" i="4"/>
  <c r="BF16" i="4"/>
  <c r="BF17" i="4"/>
  <c r="AZ265" i="4" l="1"/>
  <c r="AZ277" i="4"/>
  <c r="BA260" i="4"/>
  <c r="BA262" i="4" s="1"/>
  <c r="BC164" i="4"/>
  <c r="BC170" i="4" s="1"/>
  <c r="BC113" i="4" s="1"/>
  <c r="BB209" i="4"/>
  <c r="BB210" i="4" s="1"/>
  <c r="BB258" i="4" s="1"/>
  <c r="BD100" i="4"/>
  <c r="BE135" i="4"/>
  <c r="AL119" i="4"/>
  <c r="AL251" i="4"/>
  <c r="AL252" i="4"/>
  <c r="AM181" i="4"/>
  <c r="AM182" i="4"/>
  <c r="AM86" i="4" s="1"/>
  <c r="BE136" i="4"/>
  <c r="BD75" i="4"/>
  <c r="BD77" i="4" s="1"/>
  <c r="BE39" i="4"/>
  <c r="BE41" i="4" s="1"/>
  <c r="BE43" i="4" s="1"/>
  <c r="BE45" i="4" s="1"/>
  <c r="BE69" i="4"/>
  <c r="BF18" i="4"/>
  <c r="BG15" i="4" s="1"/>
  <c r="BA263" i="4" l="1"/>
  <c r="BA268" i="4" s="1"/>
  <c r="BA270" i="4" s="1"/>
  <c r="BB260" i="4"/>
  <c r="BB262" i="4" s="1"/>
  <c r="BC209" i="4"/>
  <c r="BD164" i="4"/>
  <c r="BE137" i="4"/>
  <c r="BE141" i="4" s="1"/>
  <c r="BF138" i="4"/>
  <c r="BG139" i="4"/>
  <c r="BH140" i="4"/>
  <c r="AM250" i="4"/>
  <c r="AM218" i="4"/>
  <c r="AM183" i="4"/>
  <c r="AM222" i="4" s="1"/>
  <c r="BD79" i="4"/>
  <c r="BD208" i="4" s="1"/>
  <c r="BD165" i="4"/>
  <c r="BE47" i="4"/>
  <c r="BE73" i="4"/>
  <c r="BF22" i="4"/>
  <c r="BG17" i="4"/>
  <c r="BG16" i="4"/>
  <c r="BA265" i="4" l="1"/>
  <c r="BA277" i="4"/>
  <c r="BB263" i="4"/>
  <c r="BB268" i="4" s="1"/>
  <c r="BB270" i="4" s="1"/>
  <c r="BE244" i="4"/>
  <c r="BE167" i="4"/>
  <c r="BF168" i="4"/>
  <c r="BG169" i="4"/>
  <c r="BD166" i="4"/>
  <c r="BD170" i="4" s="1"/>
  <c r="BE100" i="4"/>
  <c r="BF135" i="4"/>
  <c r="AM184" i="4"/>
  <c r="AM118" i="4" s="1"/>
  <c r="BD83" i="4"/>
  <c r="BF136" i="4"/>
  <c r="BF39" i="4"/>
  <c r="BF41" i="4" s="1"/>
  <c r="BF43" i="4" s="1"/>
  <c r="BF45" i="4" s="1"/>
  <c r="BF69" i="4"/>
  <c r="BE75" i="4"/>
  <c r="BE77" i="4" s="1"/>
  <c r="BG18" i="4"/>
  <c r="BH15" i="4" s="1"/>
  <c r="BB265" i="4" l="1"/>
  <c r="BB277" i="4"/>
  <c r="BF137" i="4"/>
  <c r="BF141" i="4" s="1"/>
  <c r="BG138" i="4"/>
  <c r="BH139" i="4"/>
  <c r="BI140" i="4"/>
  <c r="BD113" i="4"/>
  <c r="BE164" i="4"/>
  <c r="AM119" i="4"/>
  <c r="AM251" i="4"/>
  <c r="AM252" i="4"/>
  <c r="AN179" i="4"/>
  <c r="AN181" i="4" s="1"/>
  <c r="BC210" i="4"/>
  <c r="BC258" i="4" s="1"/>
  <c r="BE79" i="4"/>
  <c r="BE165" i="4"/>
  <c r="BF47" i="4"/>
  <c r="BF73" i="4"/>
  <c r="BG22" i="4"/>
  <c r="BH16" i="4"/>
  <c r="BH17" i="4"/>
  <c r="BC260" i="4" l="1"/>
  <c r="BC262" i="4" s="1"/>
  <c r="BD209" i="4"/>
  <c r="BE208" i="4"/>
  <c r="BF244" i="4"/>
  <c r="BH169" i="4"/>
  <c r="BG168" i="4"/>
  <c r="BF167" i="4"/>
  <c r="BE166" i="4"/>
  <c r="BE170" i="4" s="1"/>
  <c r="BG135" i="4"/>
  <c r="BF100" i="4"/>
  <c r="AN182" i="4"/>
  <c r="AN86" i="4" s="1"/>
  <c r="BE83" i="4"/>
  <c r="BG136" i="4"/>
  <c r="BF75" i="4"/>
  <c r="BF77" i="4" s="1"/>
  <c r="BG39" i="4"/>
  <c r="BG41" i="4" s="1"/>
  <c r="BG43" i="4" s="1"/>
  <c r="BG45" i="4" s="1"/>
  <c r="BG69" i="4"/>
  <c r="BH18" i="4"/>
  <c r="BI15" i="4" s="1"/>
  <c r="BC263" i="4" l="1"/>
  <c r="BC268" i="4" s="1"/>
  <c r="BC270" i="4" s="1"/>
  <c r="BG137" i="4"/>
  <c r="BG141" i="4" s="1"/>
  <c r="BH138" i="4"/>
  <c r="BI139" i="4"/>
  <c r="BJ140" i="4"/>
  <c r="BE113" i="4"/>
  <c r="BF164" i="4"/>
  <c r="AN250" i="4"/>
  <c r="AN218" i="4"/>
  <c r="AN183" i="4"/>
  <c r="AN222" i="4" s="1"/>
  <c r="BD210" i="4"/>
  <c r="BD258" i="4" s="1"/>
  <c r="BF79" i="4"/>
  <c r="BF165" i="4"/>
  <c r="BG47" i="4"/>
  <c r="BG73" i="4"/>
  <c r="BH22" i="4"/>
  <c r="BI17" i="4"/>
  <c r="BI16" i="4"/>
  <c r="BC265" i="4" l="1"/>
  <c r="BC277" i="4"/>
  <c r="BD260" i="4"/>
  <c r="BD262" i="4" s="1"/>
  <c r="BE209" i="4"/>
  <c r="BF208" i="4"/>
  <c r="BG244" i="4"/>
  <c r="BI169" i="4"/>
  <c r="BH168" i="4"/>
  <c r="BG167" i="4"/>
  <c r="BF166" i="4"/>
  <c r="BF170" i="4" s="1"/>
  <c r="BG100" i="4"/>
  <c r="BH135" i="4"/>
  <c r="AN184" i="4"/>
  <c r="BF83" i="4"/>
  <c r="BH136" i="4"/>
  <c r="BH39" i="4"/>
  <c r="BH41" i="4" s="1"/>
  <c r="BH43" i="4" s="1"/>
  <c r="BH45" i="4" s="1"/>
  <c r="BH69" i="4"/>
  <c r="BG75" i="4"/>
  <c r="BG77" i="4" s="1"/>
  <c r="BI18" i="4"/>
  <c r="BI22" i="4" s="1"/>
  <c r="BD263" i="4" l="1"/>
  <c r="BD268" i="4" s="1"/>
  <c r="BD270" i="4" s="1"/>
  <c r="BH137" i="4"/>
  <c r="BH141" i="4" s="1"/>
  <c r="BI138" i="4"/>
  <c r="BJ139" i="4"/>
  <c r="BK140" i="4"/>
  <c r="BG164" i="4"/>
  <c r="BF113" i="4"/>
  <c r="AO179" i="4"/>
  <c r="AN118" i="4"/>
  <c r="BE210" i="4"/>
  <c r="BE258" i="4" s="1"/>
  <c r="BG79" i="4"/>
  <c r="BG165" i="4"/>
  <c r="BI136" i="4"/>
  <c r="BI39" i="4"/>
  <c r="BI41" i="4" s="1"/>
  <c r="BI43" i="4" s="1"/>
  <c r="BI45" i="4" s="1"/>
  <c r="BI69" i="4"/>
  <c r="BH47" i="4"/>
  <c r="BH73" i="4"/>
  <c r="BH75" i="4" s="1"/>
  <c r="BH77" i="4" s="1"/>
  <c r="BJ15" i="4"/>
  <c r="BJ16" i="4" s="1"/>
  <c r="BD265" i="4" l="1"/>
  <c r="BD277" i="4"/>
  <c r="BE260" i="4"/>
  <c r="BE262" i="4" s="1"/>
  <c r="BF209" i="4"/>
  <c r="BG208" i="4"/>
  <c r="BH244" i="4"/>
  <c r="BI137" i="4"/>
  <c r="BJ138" i="4"/>
  <c r="BK139" i="4"/>
  <c r="BL140" i="4"/>
  <c r="BJ169" i="4"/>
  <c r="BI168" i="4"/>
  <c r="BH167" i="4"/>
  <c r="BG166" i="4"/>
  <c r="BG170" i="4" s="1"/>
  <c r="BH100" i="4"/>
  <c r="BI135" i="4"/>
  <c r="AN119" i="4"/>
  <c r="AN252" i="4"/>
  <c r="AN251" i="4"/>
  <c r="AO181" i="4"/>
  <c r="AO182" i="4"/>
  <c r="AO86" i="4" s="1"/>
  <c r="BG83" i="4"/>
  <c r="BH79" i="4"/>
  <c r="BH208" i="4" s="1"/>
  <c r="BH165" i="4"/>
  <c r="BI47" i="4"/>
  <c r="BI244" i="4" s="1"/>
  <c r="BI73" i="4"/>
  <c r="BJ17" i="4"/>
  <c r="BJ18" i="4" s="1"/>
  <c r="BE263" i="4" l="1"/>
  <c r="BE268" i="4" s="1"/>
  <c r="BE270" i="4" s="1"/>
  <c r="BI141" i="4"/>
  <c r="BJ135" i="4" s="1"/>
  <c r="BH166" i="4"/>
  <c r="BK169" i="4"/>
  <c r="BJ168" i="4"/>
  <c r="BI167" i="4"/>
  <c r="BH164" i="4"/>
  <c r="BG113" i="4"/>
  <c r="AO250" i="4"/>
  <c r="AO183" i="4"/>
  <c r="AO222" i="4" s="1"/>
  <c r="BF210" i="4"/>
  <c r="BF258" i="4" s="1"/>
  <c r="BH83" i="4"/>
  <c r="BI75" i="4"/>
  <c r="BI77" i="4" s="1"/>
  <c r="BK15" i="4"/>
  <c r="BJ22" i="4"/>
  <c r="BE265" i="4" l="1"/>
  <c r="BE277" i="4"/>
  <c r="BF260" i="4"/>
  <c r="BF262" i="4" s="1"/>
  <c r="BF263" i="4" s="1"/>
  <c r="BF268" i="4" s="1"/>
  <c r="BF270" i="4" s="1"/>
  <c r="BG209" i="4"/>
  <c r="BG210" i="4" s="1"/>
  <c r="BG258" i="4" s="1"/>
  <c r="BH170" i="4"/>
  <c r="BH113" i="4" s="1"/>
  <c r="BI100" i="4"/>
  <c r="AO218" i="4"/>
  <c r="AO184" i="4"/>
  <c r="AO118" i="4" s="1"/>
  <c r="BI79" i="4"/>
  <c r="BI208" i="4" s="1"/>
  <c r="BI165" i="4"/>
  <c r="BJ136" i="4"/>
  <c r="BJ39" i="4"/>
  <c r="BJ41" i="4" s="1"/>
  <c r="BJ43" i="4" s="1"/>
  <c r="BJ45" i="4" s="1"/>
  <c r="BJ69" i="4"/>
  <c r="BK17" i="4"/>
  <c r="BK16" i="4"/>
  <c r="BF265" i="4" l="1"/>
  <c r="BF277" i="4"/>
  <c r="BG260" i="4"/>
  <c r="BG262" i="4" s="1"/>
  <c r="BH209" i="4"/>
  <c r="BJ137" i="4"/>
  <c r="BK138" i="4"/>
  <c r="BL139" i="4"/>
  <c r="BM140" i="4"/>
  <c r="BI164" i="4"/>
  <c r="BI166" i="4"/>
  <c r="BK168" i="4"/>
  <c r="BJ167" i="4"/>
  <c r="BL169" i="4"/>
  <c r="AO119" i="4"/>
  <c r="AO252" i="4"/>
  <c r="AO251" i="4"/>
  <c r="AP179" i="4"/>
  <c r="AP182" i="4" s="1"/>
  <c r="AP86" i="4" s="1"/>
  <c r="BI83" i="4"/>
  <c r="BJ47" i="4"/>
  <c r="BJ244" i="4" s="1"/>
  <c r="BJ73" i="4"/>
  <c r="BK18" i="4"/>
  <c r="BL15" i="4" s="1"/>
  <c r="BG263" i="4" l="1"/>
  <c r="BG268" i="4" s="1"/>
  <c r="BG270" i="4" s="1"/>
  <c r="BI170" i="4"/>
  <c r="BJ164" i="4" s="1"/>
  <c r="BJ141" i="4"/>
  <c r="BK135" i="4" s="1"/>
  <c r="AP250" i="4"/>
  <c r="AP218" i="4"/>
  <c r="AP181" i="4"/>
  <c r="AP183" i="4" s="1"/>
  <c r="AP222" i="4" s="1"/>
  <c r="BJ75" i="4"/>
  <c r="BJ77" i="4" s="1"/>
  <c r="BK22" i="4"/>
  <c r="BL17" i="4"/>
  <c r="BL16" i="4"/>
  <c r="BG265" i="4" l="1"/>
  <c r="BG277" i="4"/>
  <c r="BJ100" i="4"/>
  <c r="BI113" i="4"/>
  <c r="AP184" i="4"/>
  <c r="AQ179" i="4" s="1"/>
  <c r="BH210" i="4"/>
  <c r="BH258" i="4" s="1"/>
  <c r="BJ79" i="4"/>
  <c r="BJ208" i="4" s="1"/>
  <c r="BJ165" i="4"/>
  <c r="BK136" i="4"/>
  <c r="BK39" i="4"/>
  <c r="BK41" i="4" s="1"/>
  <c r="BK43" i="4" s="1"/>
  <c r="BK45" i="4" s="1"/>
  <c r="BK69" i="4"/>
  <c r="BL18" i="4"/>
  <c r="BM15" i="4" s="1"/>
  <c r="BH260" i="4" l="1"/>
  <c r="BH262" i="4" s="1"/>
  <c r="BI209" i="4"/>
  <c r="BK137" i="4"/>
  <c r="BL138" i="4"/>
  <c r="BM139" i="4"/>
  <c r="BN140" i="4"/>
  <c r="BK167" i="4"/>
  <c r="BL168" i="4"/>
  <c r="BM169" i="4"/>
  <c r="BJ166" i="4"/>
  <c r="BJ170" i="4" s="1"/>
  <c r="AP118" i="4"/>
  <c r="AQ181" i="4"/>
  <c r="AQ182" i="4"/>
  <c r="AQ86" i="4" s="1"/>
  <c r="BJ83" i="4"/>
  <c r="BK47" i="4"/>
  <c r="BK244" i="4" s="1"/>
  <c r="BK73" i="4"/>
  <c r="BL22" i="4"/>
  <c r="BM16" i="4"/>
  <c r="BM17" i="4"/>
  <c r="BH263" i="4" l="1"/>
  <c r="BH268" i="4" s="1"/>
  <c r="BH270" i="4" s="1"/>
  <c r="BK141" i="4"/>
  <c r="BL135" i="4" s="1"/>
  <c r="BK164" i="4"/>
  <c r="BJ113" i="4"/>
  <c r="AQ250" i="4"/>
  <c r="AQ218" i="4"/>
  <c r="AP119" i="4"/>
  <c r="AP252" i="4"/>
  <c r="AP251" i="4"/>
  <c r="AQ183" i="4"/>
  <c r="AQ222" i="4" s="1"/>
  <c r="BI210" i="4"/>
  <c r="BI258" i="4" s="1"/>
  <c r="BL136" i="4"/>
  <c r="BL39" i="4"/>
  <c r="BL41" i="4" s="1"/>
  <c r="BL43" i="4" s="1"/>
  <c r="BL45" i="4" s="1"/>
  <c r="BL69" i="4"/>
  <c r="BK75" i="4"/>
  <c r="BK77" i="4" s="1"/>
  <c r="BM18" i="4"/>
  <c r="BN15" i="4" s="1"/>
  <c r="BH265" i="4" l="1"/>
  <c r="BH277" i="4"/>
  <c r="BI260" i="4"/>
  <c r="BI262" i="4" s="1"/>
  <c r="BJ209" i="4"/>
  <c r="BL137" i="4"/>
  <c r="BL141" i="4" s="1"/>
  <c r="BM138" i="4"/>
  <c r="BN139" i="4"/>
  <c r="BO140" i="4"/>
  <c r="BK100" i="4"/>
  <c r="AQ184" i="4"/>
  <c r="AQ118" i="4" s="1"/>
  <c r="BK79" i="4"/>
  <c r="BK208" i="4" s="1"/>
  <c r="BK165" i="4"/>
  <c r="BL47" i="4"/>
  <c r="BL244" i="4" s="1"/>
  <c r="BL73" i="4"/>
  <c r="BL75" i="4" s="1"/>
  <c r="BL77" i="4" s="1"/>
  <c r="BM22" i="4"/>
  <c r="BN16" i="4"/>
  <c r="BN17" i="4"/>
  <c r="BI263" i="4" l="1"/>
  <c r="BI268" i="4" s="1"/>
  <c r="BI270" i="4" s="1"/>
  <c r="BM168" i="4"/>
  <c r="BN169" i="4"/>
  <c r="BL167" i="4"/>
  <c r="BK166" i="4"/>
  <c r="BK170" i="4" s="1"/>
  <c r="BM135" i="4"/>
  <c r="BL100" i="4"/>
  <c r="AQ119" i="4"/>
  <c r="AQ252" i="4"/>
  <c r="AQ251" i="4"/>
  <c r="AR179" i="4"/>
  <c r="AR181" i="4" s="1"/>
  <c r="BK83" i="4"/>
  <c r="BL79" i="4"/>
  <c r="BL208" i="4" s="1"/>
  <c r="BL165" i="4"/>
  <c r="BM136" i="4"/>
  <c r="BM39" i="4"/>
  <c r="BM41" i="4" s="1"/>
  <c r="BM43" i="4" s="1"/>
  <c r="BM45" i="4" s="1"/>
  <c r="BM69" i="4"/>
  <c r="BN18" i="4"/>
  <c r="BN22" i="4" s="1"/>
  <c r="BI265" i="4" l="1"/>
  <c r="BI277" i="4"/>
  <c r="BM137" i="4"/>
  <c r="BM141" i="4" s="1"/>
  <c r="BN138" i="4"/>
  <c r="BO139" i="4"/>
  <c r="BP140" i="4"/>
  <c r="BL166" i="4"/>
  <c r="BO169" i="4"/>
  <c r="BM167" i="4"/>
  <c r="BN168" i="4"/>
  <c r="BL164" i="4"/>
  <c r="BK113" i="4"/>
  <c r="AR182" i="4"/>
  <c r="AR86" i="4" s="1"/>
  <c r="BJ210" i="4"/>
  <c r="BJ258" i="4" s="1"/>
  <c r="BL83" i="4"/>
  <c r="BN136" i="4"/>
  <c r="BN39" i="4"/>
  <c r="BN41" i="4" s="1"/>
  <c r="BN43" i="4" s="1"/>
  <c r="BN45" i="4" s="1"/>
  <c r="BN69" i="4"/>
  <c r="BM47" i="4"/>
  <c r="BM244" i="4" s="1"/>
  <c r="BM73" i="4"/>
  <c r="BM75" i="4" s="1"/>
  <c r="BM77" i="4" s="1"/>
  <c r="BO15" i="4"/>
  <c r="BO16" i="4" s="1"/>
  <c r="BJ260" i="4" l="1"/>
  <c r="BJ262" i="4" s="1"/>
  <c r="BK209" i="4"/>
  <c r="BL170" i="4"/>
  <c r="BM164" i="4" s="1"/>
  <c r="BN137" i="4"/>
  <c r="BO138" i="4"/>
  <c r="BP139" i="4"/>
  <c r="BN135" i="4"/>
  <c r="BM100" i="4"/>
  <c r="AR250" i="4"/>
  <c r="AR183" i="4"/>
  <c r="AR222" i="4" s="1"/>
  <c r="BM79" i="4"/>
  <c r="BM208" i="4" s="1"/>
  <c r="BM165" i="4"/>
  <c r="BN47" i="4"/>
  <c r="BN244" i="4" s="1"/>
  <c r="BN73" i="4"/>
  <c r="BN75" i="4" s="1"/>
  <c r="BN77" i="4" s="1"/>
  <c r="BO17" i="4"/>
  <c r="BO18" i="4" s="1"/>
  <c r="BP15" i="4" s="1"/>
  <c r="BJ263" i="4" l="1"/>
  <c r="BJ268" i="4" s="1"/>
  <c r="BJ270" i="4" s="1"/>
  <c r="BN141" i="4"/>
  <c r="BO135" i="4" s="1"/>
  <c r="BL113" i="4"/>
  <c r="BP169" i="4"/>
  <c r="BN167" i="4"/>
  <c r="BO168" i="4"/>
  <c r="BM166" i="4"/>
  <c r="BM170" i="4" s="1"/>
  <c r="AR218" i="4"/>
  <c r="AR184" i="4"/>
  <c r="AR118" i="4" s="1"/>
  <c r="BK210" i="4"/>
  <c r="BK258" i="4" s="1"/>
  <c r="BM83" i="4"/>
  <c r="BN79" i="4"/>
  <c r="BN208" i="4" s="1"/>
  <c r="BN165" i="4"/>
  <c r="BO22" i="4"/>
  <c r="BP16" i="4"/>
  <c r="BP17" i="4"/>
  <c r="BJ265" i="4" l="1"/>
  <c r="BJ277" i="4"/>
  <c r="BK260" i="4"/>
  <c r="BK262" i="4" s="1"/>
  <c r="BK263" i="4" s="1"/>
  <c r="BK268" i="4" s="1"/>
  <c r="BK270" i="4" s="1"/>
  <c r="BL209" i="4"/>
  <c r="BL210" i="4" s="1"/>
  <c r="BL258" i="4" s="1"/>
  <c r="BN166" i="4"/>
  <c r="BP168" i="4"/>
  <c r="BO167" i="4"/>
  <c r="BN164" i="4"/>
  <c r="BM113" i="4"/>
  <c r="BN100" i="4"/>
  <c r="AR119" i="4"/>
  <c r="K38" i="9" s="1"/>
  <c r="AR252" i="4"/>
  <c r="AR251" i="4"/>
  <c r="AS179" i="4"/>
  <c r="AS182" i="4" s="1"/>
  <c r="AS86" i="4" s="1"/>
  <c r="BN83" i="4"/>
  <c r="BO136" i="4"/>
  <c r="BO39" i="4"/>
  <c r="BO41" i="4" s="1"/>
  <c r="BO43" i="4" s="1"/>
  <c r="BO45" i="4" s="1"/>
  <c r="BO69" i="4"/>
  <c r="BP18" i="4"/>
  <c r="BP22" i="4" l="1"/>
  <c r="H22" i="4" s="1"/>
  <c r="Q12" i="9" s="1"/>
  <c r="M27" i="9"/>
  <c r="BK265" i="4"/>
  <c r="BK277" i="4"/>
  <c r="BL260" i="4"/>
  <c r="BL262" i="4" s="1"/>
  <c r="BL263" i="4" s="1"/>
  <c r="BL268" i="4" s="1"/>
  <c r="BL270" i="4" s="1"/>
  <c r="BM209" i="4"/>
  <c r="I10" i="9"/>
  <c r="J10" i="9"/>
  <c r="K10" i="9"/>
  <c r="L10" i="9"/>
  <c r="BN170" i="4"/>
  <c r="BO164" i="4" s="1"/>
  <c r="BO137" i="4"/>
  <c r="BO141" i="4" s="1"/>
  <c r="BP138" i="4"/>
  <c r="AS250" i="4"/>
  <c r="AS218" i="4"/>
  <c r="AS181" i="4"/>
  <c r="AS183" i="4" s="1"/>
  <c r="AS222" i="4" s="1"/>
  <c r="BP39" i="4"/>
  <c r="BP41" i="4" s="1"/>
  <c r="BP43" i="4" s="1"/>
  <c r="BP45" i="4" s="1"/>
  <c r="BO47" i="4"/>
  <c r="BO244" i="4" s="1"/>
  <c r="BO73" i="4"/>
  <c r="BO75" i="4" s="1"/>
  <c r="BO77" i="4" s="1"/>
  <c r="BP136" i="4" l="1"/>
  <c r="BP137" i="4" s="1"/>
  <c r="M10" i="9"/>
  <c r="BP69" i="4"/>
  <c r="BP73" i="4" s="1"/>
  <c r="BP75" i="4" s="1"/>
  <c r="BP77" i="4" s="1"/>
  <c r="BL265" i="4"/>
  <c r="BL277" i="4"/>
  <c r="H10" i="9"/>
  <c r="I11" i="9"/>
  <c r="J11" i="9"/>
  <c r="K11" i="9"/>
  <c r="L11" i="9"/>
  <c r="M11" i="9"/>
  <c r="BN113" i="4"/>
  <c r="BP135" i="4"/>
  <c r="BO100" i="4"/>
  <c r="BM210" i="4"/>
  <c r="BM258" i="4" s="1"/>
  <c r="AS184" i="4"/>
  <c r="BO79" i="4"/>
  <c r="BO208" i="4" s="1"/>
  <c r="BO165" i="4"/>
  <c r="BP167" i="4" s="1"/>
  <c r="BP47" i="4"/>
  <c r="BM260" i="4" l="1"/>
  <c r="BM262" i="4" s="1"/>
  <c r="H11" i="9"/>
  <c r="BN209" i="4"/>
  <c r="I15" i="9"/>
  <c r="J15" i="9"/>
  <c r="K15" i="9"/>
  <c r="L15" i="9"/>
  <c r="M15" i="9"/>
  <c r="I12" i="9"/>
  <c r="J12" i="9"/>
  <c r="K12" i="9"/>
  <c r="L12" i="9"/>
  <c r="M12" i="9"/>
  <c r="BP244" i="4"/>
  <c r="BP141" i="4"/>
  <c r="BP100" i="4" s="1"/>
  <c r="BO166" i="4"/>
  <c r="BO170" i="4" s="1"/>
  <c r="AS118" i="4"/>
  <c r="AT179" i="4"/>
  <c r="BO83" i="4"/>
  <c r="BP79" i="4"/>
  <c r="BP165" i="4"/>
  <c r="BP166" i="4" s="1"/>
  <c r="BM263" i="4" l="1"/>
  <c r="BM268" i="4" s="1"/>
  <c r="BM270" i="4" s="1"/>
  <c r="H15" i="9"/>
  <c r="H12" i="9"/>
  <c r="J13" i="9"/>
  <c r="K13" i="9"/>
  <c r="M13" i="9"/>
  <c r="L13" i="9"/>
  <c r="I13" i="9"/>
  <c r="I16" i="9"/>
  <c r="J16" i="9"/>
  <c r="K16" i="9"/>
  <c r="L16" i="9"/>
  <c r="M16" i="9"/>
  <c r="BP208" i="4"/>
  <c r="BP164" i="4"/>
  <c r="BO113" i="4"/>
  <c r="AS119" i="4"/>
  <c r="AS251" i="4"/>
  <c r="AS252" i="4"/>
  <c r="BN210" i="4"/>
  <c r="BN258" i="4" s="1"/>
  <c r="AT181" i="4"/>
  <c r="AT182" i="4"/>
  <c r="AT86" i="4" s="1"/>
  <c r="BP83" i="4"/>
  <c r="BM265" i="4" l="1"/>
  <c r="BM277" i="4"/>
  <c r="BN260" i="4"/>
  <c r="BN262" i="4" s="1"/>
  <c r="H13" i="9"/>
  <c r="H16" i="9"/>
  <c r="BO209" i="4"/>
  <c r="I18" i="9"/>
  <c r="J18" i="9"/>
  <c r="K18" i="9"/>
  <c r="L18" i="9"/>
  <c r="M18" i="9"/>
  <c r="BP170" i="4"/>
  <c r="BP113" i="4" s="1"/>
  <c r="AT250" i="4"/>
  <c r="AT183" i="4"/>
  <c r="AT222" i="4" s="1"/>
  <c r="BN263" i="4" l="1"/>
  <c r="BN268" i="4" s="1"/>
  <c r="BN270" i="4" s="1"/>
  <c r="H18" i="9"/>
  <c r="BP209" i="4"/>
  <c r="BP210" i="4" s="1"/>
  <c r="BP258" i="4" s="1"/>
  <c r="AT218" i="4"/>
  <c r="AT184" i="4"/>
  <c r="AT118" i="4" s="1"/>
  <c r="BO210" i="4"/>
  <c r="BO258" i="4" s="1"/>
  <c r="BN265" i="4" l="1"/>
  <c r="BN277" i="4"/>
  <c r="BP260" i="4"/>
  <c r="BP262" i="4" s="1"/>
  <c r="BP263" i="4" s="1"/>
  <c r="BO260" i="4"/>
  <c r="BO262" i="4" s="1"/>
  <c r="I52" i="9"/>
  <c r="J52" i="9"/>
  <c r="K52" i="9"/>
  <c r="L52" i="9"/>
  <c r="M52" i="9"/>
  <c r="AT251" i="4"/>
  <c r="AT252" i="4"/>
  <c r="AU179" i="4"/>
  <c r="AU182" i="4" s="1"/>
  <c r="AU86" i="4" s="1"/>
  <c r="AT119" i="4"/>
  <c r="H274" i="4" l="1"/>
  <c r="BP275" i="4" s="1"/>
  <c r="BP277" i="4" s="1"/>
  <c r="BO263" i="4"/>
  <c r="BO268" i="4" s="1"/>
  <c r="H52" i="9"/>
  <c r="AU250" i="4"/>
  <c r="AU218" i="4"/>
  <c r="AU181" i="4"/>
  <c r="AU183" i="4" s="1"/>
  <c r="AU222" i="4" s="1"/>
  <c r="BP268" i="4" l="1"/>
  <c r="BP270" i="4" s="1"/>
  <c r="BO270" i="4"/>
  <c r="BO265" i="4"/>
  <c r="BO277" i="4"/>
  <c r="AU184" i="4"/>
  <c r="AV179" i="4" s="1"/>
  <c r="BP265" i="4" l="1"/>
  <c r="H272" i="4" s="1"/>
  <c r="Q22" i="9" s="1"/>
  <c r="H279" i="4"/>
  <c r="H280" i="4"/>
  <c r="Q20" i="9" s="1"/>
  <c r="AU118" i="4"/>
  <c r="AV181" i="4"/>
  <c r="AV182" i="4"/>
  <c r="AV86" i="4" s="1"/>
  <c r="Q19" i="9"/>
  <c r="H271" i="4"/>
  <c r="Q21" i="9" s="1"/>
  <c r="AV250" i="4"/>
  <c r="AV218" i="4"/>
  <c r="AU119" i="4"/>
  <c r="AU251" i="4"/>
  <c r="AU252" i="4"/>
  <c r="C11" i="18" a="1"/>
  <c r="C12" i="18" a="1"/>
  <c r="AV183" i="4" l="1"/>
  <c r="AV222" i="4" s="1"/>
  <c r="AV184" i="4" l="1"/>
  <c r="AV118" i="4" s="1"/>
  <c r="AW179" i="4"/>
  <c r="AV119" i="4" l="1"/>
  <c r="AV252" i="4"/>
  <c r="AV251" i="4"/>
  <c r="AW181" i="4"/>
  <c r="AW182" i="4"/>
  <c r="AW86" i="4" s="1"/>
  <c r="AW250" i="4" l="1"/>
  <c r="AW218" i="4"/>
  <c r="AW183" i="4"/>
  <c r="AW222" i="4" s="1"/>
  <c r="AW184" i="4" l="1"/>
  <c r="AX179" i="4" l="1"/>
  <c r="AW118" i="4"/>
  <c r="AW119" i="4" l="1"/>
  <c r="AW252" i="4"/>
  <c r="AW251" i="4"/>
  <c r="AX181" i="4"/>
  <c r="AX182" i="4"/>
  <c r="AX86" i="4" s="1"/>
  <c r="AX250" i="4" l="1"/>
  <c r="AX218" i="4"/>
  <c r="AX183" i="4"/>
  <c r="AX222" i="4" s="1"/>
  <c r="AX184" i="4" l="1"/>
  <c r="AY179" i="4" l="1"/>
  <c r="AX118" i="4"/>
  <c r="AX119" i="4" l="1"/>
  <c r="AX252" i="4"/>
  <c r="AX251" i="4"/>
  <c r="AY181" i="4"/>
  <c r="AY182" i="4"/>
  <c r="AY86" i="4" s="1"/>
  <c r="AY250" i="4" l="1"/>
  <c r="AY218" i="4"/>
  <c r="AY183" i="4"/>
  <c r="AY222" i="4" s="1"/>
  <c r="AY184" i="4" l="1"/>
  <c r="AZ179" i="4" s="1"/>
  <c r="AY118" i="4" l="1"/>
  <c r="AZ181" i="4"/>
  <c r="AZ182" i="4"/>
  <c r="AZ86" i="4" s="1"/>
  <c r="AZ250" i="4" l="1"/>
  <c r="AZ218" i="4"/>
  <c r="AY119" i="4"/>
  <c r="AY252" i="4"/>
  <c r="AY251" i="4"/>
  <c r="AZ183" i="4"/>
  <c r="AZ222" i="4" s="1"/>
  <c r="AZ184" i="4" l="1"/>
  <c r="BA179" i="4" l="1"/>
  <c r="AZ118" i="4"/>
  <c r="AZ119" i="4" l="1"/>
  <c r="AZ252" i="4"/>
  <c r="AZ251" i="4"/>
  <c r="BA182" i="4"/>
  <c r="BA86" i="4" s="1"/>
  <c r="BA181" i="4"/>
  <c r="BA250" i="4" l="1"/>
  <c r="BA218" i="4"/>
  <c r="BA183" i="4"/>
  <c r="BA222" i="4" s="1"/>
  <c r="BA184" i="4" l="1"/>
  <c r="BB179" i="4" s="1"/>
  <c r="BA118" i="4" l="1"/>
  <c r="BB182" i="4"/>
  <c r="BB86" i="4" s="1"/>
  <c r="BB181" i="4"/>
  <c r="BB250" i="4" l="1"/>
  <c r="BB218" i="4"/>
  <c r="BA119" i="4"/>
  <c r="BA251" i="4"/>
  <c r="BA252" i="4"/>
  <c r="BB183" i="4"/>
  <c r="BB222" i="4" s="1"/>
  <c r="BB184" i="4" l="1"/>
  <c r="BB118" i="4" s="1"/>
  <c r="BB119" i="4" l="1"/>
  <c r="BB251" i="4"/>
  <c r="BB252" i="4"/>
  <c r="BC179" i="4"/>
  <c r="BC182" i="4" s="1"/>
  <c r="BC86" i="4" s="1"/>
  <c r="BC250" i="4" l="1"/>
  <c r="BC218" i="4"/>
  <c r="BC181" i="4"/>
  <c r="BC183" i="4" s="1"/>
  <c r="BC222" i="4" s="1"/>
  <c r="BC184" i="4" l="1"/>
  <c r="BC118" i="4" s="1"/>
  <c r="BC119" i="4" l="1"/>
  <c r="BC251" i="4"/>
  <c r="BC252" i="4"/>
  <c r="BD179" i="4"/>
  <c r="BD181" i="4" s="1"/>
  <c r="BD182" i="4" l="1"/>
  <c r="BD86" i="4" s="1"/>
  <c r="BD250" i="4" l="1"/>
  <c r="BD218" i="4"/>
  <c r="BD183" i="4"/>
  <c r="BD222" i="4" s="1"/>
  <c r="BD184" i="4" l="1"/>
  <c r="BD118" i="4" l="1"/>
  <c r="BE179" i="4"/>
  <c r="BD119" i="4" l="1"/>
  <c r="L38" i="9" s="1"/>
  <c r="BD251" i="4"/>
  <c r="BD252" i="4"/>
  <c r="BE181" i="4"/>
  <c r="BE182" i="4"/>
  <c r="BE86" i="4" s="1"/>
  <c r="BE250" i="4" l="1"/>
  <c r="BE183" i="4"/>
  <c r="BE222" i="4" s="1"/>
  <c r="BE218" i="4" l="1"/>
  <c r="BE184" i="4"/>
  <c r="BE118" i="4" l="1"/>
  <c r="BF179" i="4"/>
  <c r="BE119" i="4" l="1"/>
  <c r="BE252" i="4"/>
  <c r="BE251" i="4"/>
  <c r="BF182" i="4"/>
  <c r="BF86" i="4" s="1"/>
  <c r="BF181" i="4"/>
  <c r="BF250" i="4" l="1"/>
  <c r="BF183" i="4"/>
  <c r="BF222" i="4" s="1"/>
  <c r="BF218" i="4"/>
  <c r="BF184" i="4" l="1"/>
  <c r="BG179" i="4" s="1"/>
  <c r="BF118" i="4" l="1"/>
  <c r="BG181" i="4"/>
  <c r="BG182" i="4"/>
  <c r="BG86" i="4" s="1"/>
  <c r="BG250" i="4" l="1"/>
  <c r="BF119" i="4"/>
  <c r="BF252" i="4"/>
  <c r="BF251" i="4"/>
  <c r="BG183" i="4"/>
  <c r="BG218" i="4"/>
  <c r="BG184" i="4" l="1"/>
  <c r="BG118" i="4" s="1"/>
  <c r="BG222" i="4"/>
  <c r="BG119" i="4" l="1"/>
  <c r="BG252" i="4"/>
  <c r="BG251" i="4"/>
  <c r="BH179" i="4"/>
  <c r="BH181" i="4" s="1"/>
  <c r="BH182" i="4" l="1"/>
  <c r="BH86" i="4" s="1"/>
  <c r="BH250" i="4" l="1"/>
  <c r="BH218" i="4"/>
  <c r="BH183" i="4"/>
  <c r="BH222" i="4" s="1"/>
  <c r="BH184" i="4" l="1"/>
  <c r="BI179" i="4" s="1"/>
  <c r="BH118" i="4" l="1"/>
  <c r="BI182" i="4"/>
  <c r="BI86" i="4" s="1"/>
  <c r="BI181" i="4"/>
  <c r="BI250" i="4" l="1"/>
  <c r="BH119" i="4"/>
  <c r="BH252" i="4"/>
  <c r="BH251" i="4"/>
  <c r="BI183" i="4"/>
  <c r="BI222" i="4" s="1"/>
  <c r="BI218" i="4"/>
  <c r="BI184" i="4" l="1"/>
  <c r="BJ179" i="4" s="1"/>
  <c r="BJ181" i="4" s="1"/>
  <c r="BJ182" i="4" l="1"/>
  <c r="BJ86" i="4" s="1"/>
  <c r="BI118" i="4"/>
  <c r="BJ250" i="4" l="1"/>
  <c r="BI119" i="4"/>
  <c r="BI251" i="4"/>
  <c r="BI252" i="4"/>
  <c r="BJ218" i="4"/>
  <c r="BJ183" i="4"/>
  <c r="BJ222" i="4" s="1"/>
  <c r="BJ184" i="4" l="1"/>
  <c r="BK179" i="4" s="1"/>
  <c r="BK182" i="4" s="1"/>
  <c r="BK86" i="4" s="1"/>
  <c r="BK250" i="4" l="1"/>
  <c r="BK218" i="4"/>
  <c r="BK181" i="4"/>
  <c r="BK183" i="4" s="1"/>
  <c r="BK222" i="4" s="1"/>
  <c r="BJ118" i="4"/>
  <c r="BJ119" i="4" l="1"/>
  <c r="BJ251" i="4"/>
  <c r="BJ252" i="4"/>
  <c r="BK184" i="4"/>
  <c r="BL179" i="4" l="1"/>
  <c r="BK118" i="4"/>
  <c r="BK119" i="4" l="1"/>
  <c r="BK251" i="4"/>
  <c r="BK252" i="4"/>
  <c r="BL181" i="4"/>
  <c r="BL182" i="4"/>
  <c r="BL86" i="4" s="1"/>
  <c r="BL250" i="4" l="1"/>
  <c r="BL218" i="4"/>
  <c r="BL183" i="4"/>
  <c r="BL222" i="4" s="1"/>
  <c r="BL184" i="4" l="1"/>
  <c r="BM179" i="4" l="1"/>
  <c r="BL118" i="4"/>
  <c r="BL119" i="4" l="1"/>
  <c r="BL252" i="4"/>
  <c r="BL251" i="4"/>
  <c r="BM181" i="4"/>
  <c r="BM182" i="4"/>
  <c r="BM86" i="4" s="1"/>
  <c r="BM250" i="4" l="1"/>
  <c r="BM218" i="4"/>
  <c r="BM183" i="4"/>
  <c r="BM222" i="4" s="1"/>
  <c r="BM184" i="4" l="1"/>
  <c r="BM118" i="4" l="1"/>
  <c r="BN179" i="4"/>
  <c r="BM119" i="4" l="1"/>
  <c r="BM252" i="4"/>
  <c r="BM251" i="4"/>
  <c r="BN181" i="4"/>
  <c r="BN182" i="4"/>
  <c r="BN86" i="4" s="1"/>
  <c r="BN250" i="4" l="1"/>
  <c r="BN218" i="4"/>
  <c r="BN183" i="4"/>
  <c r="BN222" i="4" s="1"/>
  <c r="BN184" i="4" l="1"/>
  <c r="BO179" i="4" l="1"/>
  <c r="BN118" i="4"/>
  <c r="BN119" i="4" l="1"/>
  <c r="BN252" i="4"/>
  <c r="BN251" i="4"/>
  <c r="BO181" i="4"/>
  <c r="BO182" i="4"/>
  <c r="BO86" i="4" s="1"/>
  <c r="BO250" i="4" l="1"/>
  <c r="BO218" i="4"/>
  <c r="BO183" i="4"/>
  <c r="BO222" i="4" s="1"/>
  <c r="BO184" i="4" l="1"/>
  <c r="BP179" i="4" l="1"/>
  <c r="BO118" i="4"/>
  <c r="BO119" i="4" l="1"/>
  <c r="BO252" i="4"/>
  <c r="BO251" i="4"/>
  <c r="BP181" i="4"/>
  <c r="BP182" i="4"/>
  <c r="BP86" i="4" s="1"/>
  <c r="I20" i="9" l="1"/>
  <c r="J20" i="9"/>
  <c r="K20" i="9"/>
  <c r="L20" i="9"/>
  <c r="M20" i="9"/>
  <c r="BP250" i="4"/>
  <c r="BP218" i="4"/>
  <c r="BP183" i="4"/>
  <c r="BP222" i="4" s="1"/>
  <c r="H20" i="9" l="1"/>
  <c r="BP184" i="4"/>
  <c r="BP118" i="4" s="1"/>
  <c r="BP119" i="4" l="1"/>
  <c r="M38" i="9" s="1"/>
  <c r="BP252" i="4"/>
  <c r="BP251" i="4"/>
  <c r="I224" i="4" l="1"/>
  <c r="I85" i="4" s="1"/>
  <c r="I88" i="4" l="1"/>
  <c r="I225" i="4"/>
  <c r="I227" i="4" s="1"/>
  <c r="I230" i="4" l="1"/>
  <c r="I99" i="4" s="1"/>
  <c r="I101" i="4" s="1"/>
  <c r="I109" i="4" s="1"/>
  <c r="I158" i="4"/>
  <c r="I161" i="4" s="1"/>
  <c r="I90" i="4" s="1"/>
  <c r="I157" i="4"/>
  <c r="J229" i="4" l="1"/>
  <c r="I249" i="4"/>
  <c r="I238" i="4"/>
  <c r="I159" i="4"/>
  <c r="J156" i="4" s="1"/>
  <c r="I174" i="4"/>
  <c r="I92" i="4"/>
  <c r="I246" i="4" l="1"/>
  <c r="I253" i="4"/>
  <c r="I245" i="4"/>
  <c r="I242" i="4"/>
  <c r="I199" i="4"/>
  <c r="I201" i="4" s="1"/>
  <c r="J175" i="4"/>
  <c r="J223" i="4" s="1"/>
  <c r="I176" i="4"/>
  <c r="J173" i="4" l="1"/>
  <c r="I114" i="4"/>
  <c r="J224" i="4"/>
  <c r="I127" i="4"/>
  <c r="I128" i="4" s="1"/>
  <c r="J198" i="4"/>
  <c r="J225" i="4" l="1"/>
  <c r="J227" i="4" s="1"/>
  <c r="J85" i="4"/>
  <c r="I115" i="4"/>
  <c r="I235" i="4" s="1"/>
  <c r="I239" i="4"/>
  <c r="I243" i="4"/>
  <c r="J230" i="4" l="1"/>
  <c r="J99" i="4" s="1"/>
  <c r="J101" i="4" s="1"/>
  <c r="J109" i="4" s="1"/>
  <c r="I121" i="4"/>
  <c r="I123" i="4" s="1"/>
  <c r="I130" i="4" s="1"/>
  <c r="K229" i="4" l="1"/>
  <c r="J238" i="4"/>
  <c r="J249" i="4"/>
  <c r="J88" i="4"/>
  <c r="J158" i="4" l="1"/>
  <c r="J161" i="4" s="1"/>
  <c r="J90" i="4" s="1"/>
  <c r="J92" i="4" s="1"/>
  <c r="J157" i="4"/>
  <c r="J159" i="4" l="1"/>
  <c r="K156" i="4" s="1"/>
  <c r="J253" i="4"/>
  <c r="J199" i="4"/>
  <c r="J201" i="4" s="1"/>
  <c r="J242" i="4"/>
  <c r="J246" i="4"/>
  <c r="J245" i="4"/>
  <c r="J174" i="4"/>
  <c r="K175" i="4" l="1"/>
  <c r="K223" i="4" s="1"/>
  <c r="K224" i="4" s="1"/>
  <c r="J176" i="4"/>
  <c r="J127" i="4"/>
  <c r="J128" i="4" s="1"/>
  <c r="K198" i="4"/>
  <c r="K225" i="4" l="1"/>
  <c r="K227" i="4" s="1"/>
  <c r="K85" i="4"/>
  <c r="J243" i="4"/>
  <c r="J239" i="4"/>
  <c r="K173" i="4"/>
  <c r="J114" i="4"/>
  <c r="K230" i="4" l="1"/>
  <c r="K99" i="4" s="1"/>
  <c r="J115" i="4"/>
  <c r="J235" i="4" s="1"/>
  <c r="L229" i="4" l="1"/>
  <c r="J121" i="4"/>
  <c r="J123" i="4" s="1"/>
  <c r="J130" i="4" s="1"/>
  <c r="K101" i="4"/>
  <c r="K109" i="4" s="1"/>
  <c r="K249" i="4" l="1"/>
  <c r="K238" i="4"/>
  <c r="K88" i="4"/>
  <c r="K158" i="4" l="1"/>
  <c r="K161" i="4" s="1"/>
  <c r="K90" i="4" s="1"/>
  <c r="K92" i="4" s="1"/>
  <c r="K157" i="4"/>
  <c r="K159" i="4" l="1"/>
  <c r="L156" i="4" s="1"/>
  <c r="K253" i="4"/>
  <c r="K199" i="4"/>
  <c r="K201" i="4" s="1"/>
  <c r="K245" i="4"/>
  <c r="K246" i="4"/>
  <c r="K242" i="4"/>
  <c r="K174" i="4"/>
  <c r="L175" i="4" l="1"/>
  <c r="L223" i="4" s="1"/>
  <c r="K176" i="4"/>
  <c r="K127" i="4"/>
  <c r="K128" i="4" s="1"/>
  <c r="L198" i="4"/>
  <c r="K114" i="4" l="1"/>
  <c r="L173" i="4"/>
  <c r="K243" i="4"/>
  <c r="K239" i="4"/>
  <c r="L224" i="4"/>
  <c r="L225" i="4" l="1"/>
  <c r="L227" i="4" s="1"/>
  <c r="L85" i="4"/>
  <c r="K115" i="4"/>
  <c r="K235" i="4" s="1"/>
  <c r="L230" i="4" l="1"/>
  <c r="L99" i="4" s="1"/>
  <c r="K121" i="4"/>
  <c r="K123" i="4" s="1"/>
  <c r="K130" i="4" s="1"/>
  <c r="M229" i="4" l="1"/>
  <c r="L101" i="4"/>
  <c r="L109" i="4" s="1"/>
  <c r="L249" i="4" l="1"/>
  <c r="L238" i="4"/>
  <c r="L88" i="4"/>
  <c r="L157" i="4" l="1"/>
  <c r="L158" i="4"/>
  <c r="L161" i="4" s="1"/>
  <c r="L90" i="4" s="1"/>
  <c r="L92" i="4" s="1"/>
  <c r="L159" i="4" l="1"/>
  <c r="M156" i="4" s="1"/>
  <c r="L253" i="4"/>
  <c r="L199" i="4"/>
  <c r="L201" i="4" s="1"/>
  <c r="L246" i="4"/>
  <c r="L245" i="4"/>
  <c r="L242" i="4"/>
  <c r="L174" i="4"/>
  <c r="L127" i="4" l="1"/>
  <c r="L128" i="4" s="1"/>
  <c r="M198" i="4"/>
  <c r="M175" i="4"/>
  <c r="M223" i="4" s="1"/>
  <c r="L176" i="4"/>
  <c r="L114" i="4" l="1"/>
  <c r="M173" i="4"/>
  <c r="M224" i="4"/>
  <c r="L239" i="4"/>
  <c r="L243" i="4"/>
  <c r="M225" i="4" l="1"/>
  <c r="M227" i="4" s="1"/>
  <c r="M85" i="4"/>
  <c r="L115" i="4"/>
  <c r="L235" i="4" s="1"/>
  <c r="M230" i="4" l="1"/>
  <c r="M99" i="4" s="1"/>
  <c r="L121" i="4"/>
  <c r="L123" i="4" s="1"/>
  <c r="L130" i="4" s="1"/>
  <c r="N229" i="4" l="1"/>
  <c r="M101" i="4"/>
  <c r="M109" i="4" s="1"/>
  <c r="M88" i="4" l="1"/>
  <c r="M238" i="4"/>
  <c r="M249" i="4"/>
  <c r="M157" i="4" l="1"/>
  <c r="M158" i="4"/>
  <c r="M161" i="4" s="1"/>
  <c r="M90" i="4" s="1"/>
  <c r="M92" i="4" s="1"/>
  <c r="M253" i="4" l="1"/>
  <c r="M242" i="4"/>
  <c r="M246" i="4"/>
  <c r="M199" i="4"/>
  <c r="M201" i="4" s="1"/>
  <c r="M245" i="4"/>
  <c r="M174" i="4"/>
  <c r="M159" i="4"/>
  <c r="N156" i="4" s="1"/>
  <c r="M127" i="4" l="1"/>
  <c r="M128" i="4" s="1"/>
  <c r="N198" i="4"/>
  <c r="N175" i="4"/>
  <c r="N223" i="4" s="1"/>
  <c r="M176" i="4"/>
  <c r="N173" i="4" l="1"/>
  <c r="M114" i="4"/>
  <c r="N224" i="4"/>
  <c r="M243" i="4"/>
  <c r="M239" i="4"/>
  <c r="N225" i="4" l="1"/>
  <c r="N227" i="4" s="1"/>
  <c r="N230" i="4" s="1"/>
  <c r="N85" i="4"/>
  <c r="M115" i="4"/>
  <c r="M235" i="4" s="1"/>
  <c r="M121" i="4" l="1"/>
  <c r="M123" i="4" s="1"/>
  <c r="M130" i="4" s="1"/>
  <c r="N99" i="4"/>
  <c r="O229" i="4"/>
  <c r="N101" i="4" l="1"/>
  <c r="N109" i="4" s="1"/>
  <c r="N88" i="4" l="1"/>
  <c r="N238" i="4"/>
  <c r="N249" i="4"/>
  <c r="N158" i="4" l="1"/>
  <c r="N161" i="4" s="1"/>
  <c r="N90" i="4" s="1"/>
  <c r="N92" i="4" s="1"/>
  <c r="N157" i="4"/>
  <c r="N253" i="4" l="1"/>
  <c r="N199" i="4"/>
  <c r="N201" i="4" s="1"/>
  <c r="N242" i="4"/>
  <c r="N246" i="4"/>
  <c r="N245" i="4"/>
  <c r="N159" i="4"/>
  <c r="O156" i="4" s="1"/>
  <c r="N174" i="4"/>
  <c r="O198" i="4" l="1"/>
  <c r="N127" i="4"/>
  <c r="N128" i="4" s="1"/>
  <c r="O175" i="4"/>
  <c r="O223" i="4" s="1"/>
  <c r="N176" i="4"/>
  <c r="O173" i="4" l="1"/>
  <c r="N114" i="4"/>
  <c r="N239" i="4"/>
  <c r="N243" i="4"/>
  <c r="O224" i="4"/>
  <c r="O225" i="4" l="1"/>
  <c r="O227" i="4" s="1"/>
  <c r="O230" i="4" s="1"/>
  <c r="O85" i="4"/>
  <c r="N115" i="4"/>
  <c r="N235" i="4" s="1"/>
  <c r="N121" i="4" l="1"/>
  <c r="N123" i="4" s="1"/>
  <c r="N130" i="4" s="1"/>
  <c r="O99" i="4"/>
  <c r="P229" i="4"/>
  <c r="O101" i="4" l="1"/>
  <c r="O109" i="4" s="1"/>
  <c r="O88" i="4"/>
  <c r="O238" i="4" l="1"/>
  <c r="O249" i="4"/>
  <c r="O158" i="4"/>
  <c r="O161" i="4" s="1"/>
  <c r="O90" i="4" s="1"/>
  <c r="O174" i="4" s="1"/>
  <c r="O157" i="4"/>
  <c r="O92" i="4" l="1"/>
  <c r="O159" i="4"/>
  <c r="P156" i="4" s="1"/>
  <c r="P175" i="4"/>
  <c r="P223" i="4" s="1"/>
  <c r="O176" i="4"/>
  <c r="P224" i="4" l="1"/>
  <c r="O253" i="4"/>
  <c r="O246" i="4"/>
  <c r="O199" i="4"/>
  <c r="O201" i="4" s="1"/>
  <c r="O242" i="4"/>
  <c r="O245" i="4"/>
  <c r="P173" i="4"/>
  <c r="O114" i="4"/>
  <c r="P225" i="4" l="1"/>
  <c r="P227" i="4" s="1"/>
  <c r="P230" i="4" s="1"/>
  <c r="P99" i="4" s="1"/>
  <c r="P85" i="4"/>
  <c r="O127" i="4"/>
  <c r="O128" i="4" s="1"/>
  <c r="P198" i="4"/>
  <c r="O115" i="4"/>
  <c r="O235" i="4" s="1"/>
  <c r="O121" i="4" l="1"/>
  <c r="O123" i="4" s="1"/>
  <c r="O130" i="4" s="1"/>
  <c r="Q229" i="4"/>
  <c r="O243" i="4"/>
  <c r="O239" i="4"/>
  <c r="P101" i="4"/>
  <c r="P109" i="4" s="1"/>
  <c r="P88" i="4"/>
  <c r="P238" i="4" l="1"/>
  <c r="P249" i="4"/>
  <c r="P158" i="4"/>
  <c r="P161" i="4" s="1"/>
  <c r="P90" i="4" s="1"/>
  <c r="P174" i="4" s="1"/>
  <c r="P157" i="4"/>
  <c r="P92" i="4" l="1"/>
  <c r="P159" i="4"/>
  <c r="Q156" i="4" s="1"/>
  <c r="Q175" i="4"/>
  <c r="Q223" i="4" s="1"/>
  <c r="Q224" i="4" s="1"/>
  <c r="P176" i="4"/>
  <c r="Q225" i="4" l="1"/>
  <c r="Q227" i="4" s="1"/>
  <c r="Q230" i="4" s="1"/>
  <c r="Q99" i="4" s="1"/>
  <c r="Q85" i="4"/>
  <c r="Q173" i="4"/>
  <c r="P114" i="4"/>
  <c r="P253" i="4"/>
  <c r="P245" i="4"/>
  <c r="P246" i="4"/>
  <c r="P199" i="4"/>
  <c r="P201" i="4" s="1"/>
  <c r="P242" i="4"/>
  <c r="R229" i="4" l="1"/>
  <c r="P115" i="4"/>
  <c r="P235" i="4" s="1"/>
  <c r="Q198" i="4"/>
  <c r="P127" i="4"/>
  <c r="P128" i="4" s="1"/>
  <c r="Q101" i="4"/>
  <c r="Q109" i="4" s="1"/>
  <c r="Q88" i="4"/>
  <c r="P121" i="4" l="1"/>
  <c r="P123" i="4" s="1"/>
  <c r="P130" i="4" s="1"/>
  <c r="P243" i="4"/>
  <c r="P239" i="4"/>
  <c r="Q158" i="4"/>
  <c r="Q161" i="4" s="1"/>
  <c r="Q90" i="4" s="1"/>
  <c r="Q174" i="4" s="1"/>
  <c r="Q157" i="4"/>
  <c r="Q238" i="4"/>
  <c r="Q249" i="4"/>
  <c r="Q159" i="4" l="1"/>
  <c r="R156" i="4" s="1"/>
  <c r="Q92" i="4"/>
  <c r="R175" i="4"/>
  <c r="R223" i="4" s="1"/>
  <c r="Q176" i="4"/>
  <c r="Q114" i="4" l="1"/>
  <c r="R173" i="4"/>
  <c r="R224" i="4"/>
  <c r="Q253" i="4"/>
  <c r="Q199" i="4"/>
  <c r="Q201" i="4" s="1"/>
  <c r="Q245" i="4"/>
  <c r="Q246" i="4"/>
  <c r="Q242" i="4"/>
  <c r="R225" i="4" l="1"/>
  <c r="R227" i="4" s="1"/>
  <c r="R230" i="4" s="1"/>
  <c r="R99" i="4" s="1"/>
  <c r="R85" i="4"/>
  <c r="Q127" i="4"/>
  <c r="Q128" i="4" s="1"/>
  <c r="R198" i="4"/>
  <c r="Q115" i="4"/>
  <c r="Q235" i="4" s="1"/>
  <c r="Q121" i="4" l="1"/>
  <c r="Q123" i="4" s="1"/>
  <c r="Q130" i="4" s="1"/>
  <c r="S229" i="4"/>
  <c r="Q243" i="4"/>
  <c r="Q239" i="4"/>
  <c r="R101" i="4"/>
  <c r="R109" i="4" s="1"/>
  <c r="R88" i="4"/>
  <c r="R238" i="4" l="1"/>
  <c r="R249" i="4"/>
  <c r="R157" i="4"/>
  <c r="R158" i="4"/>
  <c r="R161" i="4" s="1"/>
  <c r="R90" i="4" s="1"/>
  <c r="R174" i="4" s="1"/>
  <c r="R159" i="4" l="1"/>
  <c r="S156" i="4" s="1"/>
  <c r="R92" i="4"/>
  <c r="R253" i="4" s="1"/>
  <c r="S175" i="4"/>
  <c r="S223" i="4" s="1"/>
  <c r="R176" i="4"/>
  <c r="R199" i="4" l="1"/>
  <c r="R201" i="4" s="1"/>
  <c r="R127" i="4" s="1"/>
  <c r="R128" i="4" s="1"/>
  <c r="R245" i="4"/>
  <c r="R246" i="4"/>
  <c r="R242" i="4"/>
  <c r="R114" i="4"/>
  <c r="S173" i="4"/>
  <c r="S224" i="4"/>
  <c r="S198" i="4" l="1"/>
  <c r="S225" i="4"/>
  <c r="S227" i="4" s="1"/>
  <c r="S230" i="4" s="1"/>
  <c r="S85" i="4"/>
  <c r="R115" i="4"/>
  <c r="R235" i="4" s="1"/>
  <c r="R243" i="4"/>
  <c r="R239" i="4"/>
  <c r="R121" i="4" l="1"/>
  <c r="R123" i="4" s="1"/>
  <c r="R130" i="4" s="1"/>
  <c r="S99" i="4"/>
  <c r="T229" i="4"/>
  <c r="I57" i="9" s="1"/>
  <c r="S101" i="4" l="1"/>
  <c r="S109" i="4" s="1"/>
  <c r="S88" i="4"/>
  <c r="S238" i="4" l="1"/>
  <c r="S249" i="4"/>
  <c r="S158" i="4"/>
  <c r="S161" i="4" s="1"/>
  <c r="S90" i="4" s="1"/>
  <c r="S174" i="4" s="1"/>
  <c r="S157" i="4"/>
  <c r="T175" i="4" l="1"/>
  <c r="T223" i="4" s="1"/>
  <c r="T224" i="4" s="1"/>
  <c r="S176" i="4"/>
  <c r="S92" i="4"/>
  <c r="S159" i="4"/>
  <c r="T156" i="4" s="1"/>
  <c r="T225" i="4" l="1"/>
  <c r="T227" i="4" s="1"/>
  <c r="T230" i="4" s="1"/>
  <c r="T99" i="4" s="1"/>
  <c r="T85" i="4"/>
  <c r="S253" i="4"/>
  <c r="S199" i="4"/>
  <c r="S201" i="4" s="1"/>
  <c r="S242" i="4"/>
  <c r="S245" i="4"/>
  <c r="S246" i="4"/>
  <c r="T173" i="4"/>
  <c r="S114" i="4"/>
  <c r="I58" i="9" l="1"/>
  <c r="U229" i="4"/>
  <c r="S127" i="4"/>
  <c r="S128" i="4" s="1"/>
  <c r="T198" i="4"/>
  <c r="S115" i="4"/>
  <c r="S235" i="4" s="1"/>
  <c r="T101" i="4"/>
  <c r="T109" i="4" s="1"/>
  <c r="T88" i="4"/>
  <c r="S121" i="4" l="1"/>
  <c r="S123" i="4" s="1"/>
  <c r="S130" i="4" s="1"/>
  <c r="S243" i="4"/>
  <c r="S239" i="4"/>
  <c r="T157" i="4"/>
  <c r="T158" i="4"/>
  <c r="T161" i="4" s="1"/>
  <c r="T90" i="4" s="1"/>
  <c r="T174" i="4" s="1"/>
  <c r="T238" i="4"/>
  <c r="T249" i="4"/>
  <c r="I32" i="9"/>
  <c r="I34" i="9" s="1"/>
  <c r="T159" i="4" l="1"/>
  <c r="U156" i="4" s="1"/>
  <c r="T92" i="4"/>
  <c r="U175" i="4"/>
  <c r="U223" i="4" s="1"/>
  <c r="U224" i="4" s="1"/>
  <c r="T176" i="4"/>
  <c r="U225" i="4" l="1"/>
  <c r="U227" i="4" s="1"/>
  <c r="U230" i="4" s="1"/>
  <c r="U85" i="4"/>
  <c r="U173" i="4"/>
  <c r="T114" i="4"/>
  <c r="T253" i="4"/>
  <c r="T242" i="4"/>
  <c r="T199" i="4"/>
  <c r="T201" i="4" s="1"/>
  <c r="T246" i="4"/>
  <c r="T245" i="4"/>
  <c r="U99" i="4" l="1"/>
  <c r="V229" i="4"/>
  <c r="T127" i="4"/>
  <c r="U198" i="4"/>
  <c r="T115" i="4"/>
  <c r="T121" i="4" s="1"/>
  <c r="T123" i="4" s="1"/>
  <c r="I45" i="9" l="1"/>
  <c r="I46" i="9" s="1"/>
  <c r="T128" i="4"/>
  <c r="T130" i="4" s="1"/>
  <c r="I37" i="9"/>
  <c r="I39" i="9" s="1"/>
  <c r="I41" i="9" s="1"/>
  <c r="T235" i="4"/>
  <c r="U101" i="4"/>
  <c r="U109" i="4" s="1"/>
  <c r="U88" i="4" l="1"/>
  <c r="I48" i="9"/>
  <c r="T239" i="4"/>
  <c r="T243" i="4"/>
  <c r="U238" i="4"/>
  <c r="U249" i="4"/>
  <c r="U158" i="4" l="1"/>
  <c r="U161" i="4" s="1"/>
  <c r="U90" i="4" s="1"/>
  <c r="U92" i="4" s="1"/>
  <c r="U157" i="4"/>
  <c r="U159" i="4" l="1"/>
  <c r="V156" i="4" s="1"/>
  <c r="U253" i="4"/>
  <c r="U199" i="4"/>
  <c r="U201" i="4" s="1"/>
  <c r="U245" i="4"/>
  <c r="U242" i="4"/>
  <c r="U246" i="4"/>
  <c r="U174" i="4"/>
  <c r="U127" i="4" l="1"/>
  <c r="U128" i="4" s="1"/>
  <c r="V198" i="4"/>
  <c r="V175" i="4"/>
  <c r="V223" i="4" s="1"/>
  <c r="V224" i="4" s="1"/>
  <c r="U176" i="4"/>
  <c r="V225" i="4" l="1"/>
  <c r="V227" i="4" s="1"/>
  <c r="V230" i="4" s="1"/>
  <c r="V85" i="4"/>
  <c r="V173" i="4"/>
  <c r="U114" i="4"/>
  <c r="U239" i="4"/>
  <c r="U243" i="4"/>
  <c r="V99" i="4" l="1"/>
  <c r="W229" i="4"/>
  <c r="U115" i="4"/>
  <c r="U235" i="4" s="1"/>
  <c r="U121" i="4" l="1"/>
  <c r="U123" i="4" s="1"/>
  <c r="U130" i="4" s="1"/>
  <c r="V101" i="4"/>
  <c r="V109" i="4" s="1"/>
  <c r="V88" i="4" l="1"/>
  <c r="V238" i="4"/>
  <c r="V249" i="4"/>
  <c r="V158" i="4" l="1"/>
  <c r="V161" i="4" s="1"/>
  <c r="V90" i="4" s="1"/>
  <c r="V92" i="4" s="1"/>
  <c r="V157" i="4"/>
  <c r="V159" i="4" l="1"/>
  <c r="W156" i="4" s="1"/>
  <c r="V199" i="4"/>
  <c r="V201" i="4" s="1"/>
  <c r="V253" i="4"/>
  <c r="V246" i="4"/>
  <c r="V242" i="4"/>
  <c r="V245" i="4"/>
  <c r="V174" i="4"/>
  <c r="W175" i="4" l="1"/>
  <c r="W223" i="4" s="1"/>
  <c r="V176" i="4"/>
  <c r="W198" i="4"/>
  <c r="V127" i="4"/>
  <c r="V128" i="4" s="1"/>
  <c r="V239" i="4" l="1"/>
  <c r="V243" i="4"/>
  <c r="W173" i="4"/>
  <c r="V114" i="4"/>
  <c r="W224" i="4"/>
  <c r="W225" i="4" l="1"/>
  <c r="W227" i="4" s="1"/>
  <c r="W230" i="4" s="1"/>
  <c r="W85" i="4"/>
  <c r="V115" i="4"/>
  <c r="V235" i="4" s="1"/>
  <c r="V121" i="4" l="1"/>
  <c r="V123" i="4" s="1"/>
  <c r="V130" i="4" s="1"/>
  <c r="W99" i="4"/>
  <c r="X229" i="4"/>
  <c r="W101" i="4" l="1"/>
  <c r="W109" i="4" s="1"/>
  <c r="W238" i="4" l="1"/>
  <c r="W249" i="4"/>
  <c r="W88" i="4"/>
  <c r="W158" i="4" l="1"/>
  <c r="W161" i="4" s="1"/>
  <c r="W90" i="4" s="1"/>
  <c r="W92" i="4" s="1"/>
  <c r="W157" i="4"/>
  <c r="W159" i="4" l="1"/>
  <c r="X156" i="4" s="1"/>
  <c r="W253" i="4"/>
  <c r="W242" i="4"/>
  <c r="W199" i="4"/>
  <c r="W201" i="4" s="1"/>
  <c r="W246" i="4"/>
  <c r="W245" i="4"/>
  <c r="W174" i="4"/>
  <c r="X175" i="4" l="1"/>
  <c r="X223" i="4" s="1"/>
  <c r="W176" i="4"/>
  <c r="W127" i="4"/>
  <c r="W128" i="4" s="1"/>
  <c r="X198" i="4"/>
  <c r="W243" i="4" l="1"/>
  <c r="W239" i="4"/>
  <c r="X173" i="4"/>
  <c r="W114" i="4"/>
  <c r="X224" i="4"/>
  <c r="X225" i="4" l="1"/>
  <c r="X227" i="4" s="1"/>
  <c r="X230" i="4" s="1"/>
  <c r="X85" i="4"/>
  <c r="W115" i="4"/>
  <c r="W235" i="4" s="1"/>
  <c r="W121" i="4" l="1"/>
  <c r="W123" i="4" s="1"/>
  <c r="W130" i="4" s="1"/>
  <c r="X99" i="4"/>
  <c r="Y229" i="4"/>
  <c r="X101" i="4" l="1"/>
  <c r="X109" i="4" s="1"/>
  <c r="X238" i="4" l="1"/>
  <c r="X249" i="4"/>
  <c r="X88" i="4"/>
  <c r="X157" i="4" l="1"/>
  <c r="X158" i="4"/>
  <c r="X161" i="4" s="1"/>
  <c r="X90" i="4" s="1"/>
  <c r="X174" i="4" l="1"/>
  <c r="X92" i="4"/>
  <c r="X159" i="4"/>
  <c r="Y156" i="4" s="1"/>
  <c r="Y175" i="4" l="1"/>
  <c r="Y223" i="4" s="1"/>
  <c r="X176" i="4"/>
  <c r="X253" i="4"/>
  <c r="X246" i="4"/>
  <c r="X245" i="4"/>
  <c r="X199" i="4"/>
  <c r="X201" i="4" s="1"/>
  <c r="X242" i="4"/>
  <c r="X127" i="4" l="1"/>
  <c r="X128" i="4" s="1"/>
  <c r="Y198" i="4"/>
  <c r="X114" i="4"/>
  <c r="Y173" i="4"/>
  <c r="Y224" i="4"/>
  <c r="Y225" i="4" l="1"/>
  <c r="Y227" i="4" s="1"/>
  <c r="Y230" i="4" s="1"/>
  <c r="Y85" i="4"/>
  <c r="X115" i="4"/>
  <c r="X235" i="4" s="1"/>
  <c r="X243" i="4"/>
  <c r="X239" i="4"/>
  <c r="X121" i="4" l="1"/>
  <c r="X123" i="4" s="1"/>
  <c r="X130" i="4" s="1"/>
  <c r="Y99" i="4"/>
  <c r="Z229" i="4"/>
  <c r="Y101" i="4" l="1"/>
  <c r="Y109" i="4" s="1"/>
  <c r="Y238" i="4" l="1"/>
  <c r="Y249" i="4"/>
  <c r="Y88" i="4"/>
  <c r="Y158" i="4" l="1"/>
  <c r="Y161" i="4" s="1"/>
  <c r="Y90" i="4" s="1"/>
  <c r="Y92" i="4" s="1"/>
  <c r="Y157" i="4"/>
  <c r="Y159" i="4" l="1"/>
  <c r="Z156" i="4" s="1"/>
  <c r="Y253" i="4"/>
  <c r="Y246" i="4"/>
  <c r="Y242" i="4"/>
  <c r="Y199" i="4"/>
  <c r="Y201" i="4" s="1"/>
  <c r="Y245" i="4"/>
  <c r="Y174" i="4"/>
  <c r="Z175" i="4" l="1"/>
  <c r="Z223" i="4" s="1"/>
  <c r="Y176" i="4"/>
  <c r="Z198" i="4"/>
  <c r="Y127" i="4"/>
  <c r="Y128" i="4" s="1"/>
  <c r="Y239" i="4" l="1"/>
  <c r="Y243" i="4"/>
  <c r="Y114" i="4"/>
  <c r="Z173" i="4"/>
  <c r="Z224" i="4"/>
  <c r="Z225" i="4" l="1"/>
  <c r="Z227" i="4" s="1"/>
  <c r="Z230" i="4" s="1"/>
  <c r="Z99" i="4" s="1"/>
  <c r="Z85" i="4"/>
  <c r="Y115" i="4"/>
  <c r="Y235" i="4" s="1"/>
  <c r="AA229" i="4" l="1"/>
  <c r="Y121" i="4"/>
  <c r="Y123" i="4" s="1"/>
  <c r="Y130" i="4" s="1"/>
  <c r="Z101" i="4"/>
  <c r="Z109" i="4" s="1"/>
  <c r="Z88" i="4"/>
  <c r="Z157" i="4" l="1"/>
  <c r="Z158" i="4"/>
  <c r="Z161" i="4" s="1"/>
  <c r="Z90" i="4" s="1"/>
  <c r="Z174" i="4" s="1"/>
  <c r="Z238" i="4"/>
  <c r="Z249" i="4"/>
  <c r="Z92" i="4" l="1"/>
  <c r="Z253" i="4" s="1"/>
  <c r="AA175" i="4"/>
  <c r="AA223" i="4" s="1"/>
  <c r="Z176" i="4"/>
  <c r="Z159" i="4"/>
  <c r="AA156" i="4" s="1"/>
  <c r="Z199" i="4" l="1"/>
  <c r="Z201" i="4" s="1"/>
  <c r="Z127" i="4" s="1"/>
  <c r="Z128" i="4" s="1"/>
  <c r="Z242" i="4"/>
  <c r="Z245" i="4"/>
  <c r="Z246" i="4"/>
  <c r="AA173" i="4"/>
  <c r="Z114" i="4"/>
  <c r="AA224" i="4"/>
  <c r="AA198" i="4" l="1"/>
  <c r="AA225" i="4"/>
  <c r="AA227" i="4" s="1"/>
  <c r="AA230" i="4" s="1"/>
  <c r="AA99" i="4" s="1"/>
  <c r="AA85" i="4"/>
  <c r="Z243" i="4"/>
  <c r="Z239" i="4"/>
  <c r="Z115" i="4"/>
  <c r="Z235" i="4" s="1"/>
  <c r="AB229" i="4" l="1"/>
  <c r="Z121" i="4"/>
  <c r="Z123" i="4" s="1"/>
  <c r="Z130" i="4" s="1"/>
  <c r="AA101" i="4"/>
  <c r="AA109" i="4" s="1"/>
  <c r="AA88" i="4"/>
  <c r="AA238" i="4" l="1"/>
  <c r="AA249" i="4"/>
  <c r="AA157" i="4"/>
  <c r="AA158" i="4"/>
  <c r="AA161" i="4" s="1"/>
  <c r="AA90" i="4" s="1"/>
  <c r="AA174" i="4" s="1"/>
  <c r="AA92" i="4" l="1"/>
  <c r="AA253" i="4" s="1"/>
  <c r="AA159" i="4"/>
  <c r="AB156" i="4" s="1"/>
  <c r="AB175" i="4"/>
  <c r="AB223" i="4" s="1"/>
  <c r="AA176" i="4"/>
  <c r="AA246" i="4" l="1"/>
  <c r="AA199" i="4"/>
  <c r="AA201" i="4" s="1"/>
  <c r="AB198" i="4" s="1"/>
  <c r="AA245" i="4"/>
  <c r="AA242" i="4"/>
  <c r="AB173" i="4"/>
  <c r="AA114" i="4"/>
  <c r="AB224" i="4"/>
  <c r="AA127" i="4" l="1"/>
  <c r="AA128" i="4" s="1"/>
  <c r="AA243" i="4" s="1"/>
  <c r="AB225" i="4"/>
  <c r="AB227" i="4" s="1"/>
  <c r="AB230" i="4" s="1"/>
  <c r="AB85" i="4"/>
  <c r="AA115" i="4"/>
  <c r="AA235" i="4" s="1"/>
  <c r="AA239" i="4" l="1"/>
  <c r="AA121" i="4"/>
  <c r="AA123" i="4" s="1"/>
  <c r="AA130" i="4" s="1"/>
  <c r="AB99" i="4"/>
  <c r="AC229" i="4"/>
  <c r="AB101" i="4" l="1"/>
  <c r="AB109" i="4" s="1"/>
  <c r="AB88" i="4"/>
  <c r="AB238" i="4" l="1"/>
  <c r="AB249" i="4"/>
  <c r="AB158" i="4"/>
  <c r="AB161" i="4" s="1"/>
  <c r="AB90" i="4" s="1"/>
  <c r="AB174" i="4" s="1"/>
  <c r="AB157" i="4"/>
  <c r="AC175" i="4" l="1"/>
  <c r="AC223" i="4" s="1"/>
  <c r="AB176" i="4"/>
  <c r="AB92" i="4"/>
  <c r="AB159" i="4"/>
  <c r="AC156" i="4" s="1"/>
  <c r="AB253" i="4" l="1"/>
  <c r="AB246" i="4"/>
  <c r="AB245" i="4"/>
  <c r="AB242" i="4"/>
  <c r="AB199" i="4"/>
  <c r="AB201" i="4" s="1"/>
  <c r="AC173" i="4"/>
  <c r="AB114" i="4"/>
  <c r="AC224" i="4"/>
  <c r="AC225" i="4" l="1"/>
  <c r="AC227" i="4" s="1"/>
  <c r="AC230" i="4" s="1"/>
  <c r="AC99" i="4" s="1"/>
  <c r="AC85" i="4"/>
  <c r="AB115" i="4"/>
  <c r="AB235" i="4" s="1"/>
  <c r="AC198" i="4"/>
  <c r="AB127" i="4"/>
  <c r="AB128" i="4" s="1"/>
  <c r="AD229" i="4" l="1"/>
  <c r="AB243" i="4"/>
  <c r="AB239" i="4"/>
  <c r="AB121" i="4"/>
  <c r="AB123" i="4" s="1"/>
  <c r="AB130" i="4" s="1"/>
  <c r="AC101" i="4"/>
  <c r="AC109" i="4" s="1"/>
  <c r="AC88" i="4"/>
  <c r="AC238" i="4" l="1"/>
  <c r="AC249" i="4"/>
  <c r="AC157" i="4"/>
  <c r="AC158" i="4"/>
  <c r="AC161" i="4" s="1"/>
  <c r="AC90" i="4" s="1"/>
  <c r="AC174" i="4" s="1"/>
  <c r="AC92" i="4" l="1"/>
  <c r="AC253" i="4" s="1"/>
  <c r="AC159" i="4"/>
  <c r="AD156" i="4" s="1"/>
  <c r="AD175" i="4"/>
  <c r="AD223" i="4" s="1"/>
  <c r="AD224" i="4" s="1"/>
  <c r="AC176" i="4"/>
  <c r="AD225" i="4" l="1"/>
  <c r="AD227" i="4" s="1"/>
  <c r="AD230" i="4" s="1"/>
  <c r="AD99" i="4" s="1"/>
  <c r="AD85" i="4"/>
  <c r="AC246" i="4"/>
  <c r="AC242" i="4"/>
  <c r="AC245" i="4"/>
  <c r="AC199" i="4"/>
  <c r="AC201" i="4" s="1"/>
  <c r="AC127" i="4" s="1"/>
  <c r="AC128" i="4" s="1"/>
  <c r="AC114" i="4"/>
  <c r="AD173" i="4"/>
  <c r="AD198" i="4" l="1"/>
  <c r="AE229" i="4"/>
  <c r="AC115" i="4"/>
  <c r="AC235" i="4" s="1"/>
  <c r="AC239" i="4"/>
  <c r="AC243" i="4"/>
  <c r="AD101" i="4"/>
  <c r="AD109" i="4" s="1"/>
  <c r="AD88" i="4"/>
  <c r="AC121" i="4" l="1"/>
  <c r="AC123" i="4" s="1"/>
  <c r="AC130" i="4" s="1"/>
  <c r="AD158" i="4"/>
  <c r="AD161" i="4" s="1"/>
  <c r="AD90" i="4" s="1"/>
  <c r="AD174" i="4" s="1"/>
  <c r="AD157" i="4"/>
  <c r="AD238" i="4"/>
  <c r="AD249" i="4"/>
  <c r="AD92" i="4" l="1"/>
  <c r="AD253" i="4" s="1"/>
  <c r="AD159" i="4"/>
  <c r="AE156" i="4" s="1"/>
  <c r="AE175" i="4"/>
  <c r="AE223" i="4" s="1"/>
  <c r="AE224" i="4" s="1"/>
  <c r="AD176" i="4"/>
  <c r="AE225" i="4" l="1"/>
  <c r="AE227" i="4" s="1"/>
  <c r="AE230" i="4" s="1"/>
  <c r="AE99" i="4" s="1"/>
  <c r="AE85" i="4"/>
  <c r="AD242" i="4"/>
  <c r="AD245" i="4"/>
  <c r="AD246" i="4"/>
  <c r="AD199" i="4"/>
  <c r="AD201" i="4" s="1"/>
  <c r="AD127" i="4" s="1"/>
  <c r="AD128" i="4" s="1"/>
  <c r="AE173" i="4"/>
  <c r="AD114" i="4"/>
  <c r="AE198" i="4" l="1"/>
  <c r="AF229" i="4"/>
  <c r="J57" i="9" s="1"/>
  <c r="AE101" i="4"/>
  <c r="AE109" i="4" s="1"/>
  <c r="AE88" i="4"/>
  <c r="AD115" i="4"/>
  <c r="AD235" i="4" s="1"/>
  <c r="AD239" i="4"/>
  <c r="AD243" i="4"/>
  <c r="AE238" i="4" l="1"/>
  <c r="AE249" i="4"/>
  <c r="AD121" i="4"/>
  <c r="AD123" i="4" s="1"/>
  <c r="AD130" i="4" s="1"/>
  <c r="AE158" i="4"/>
  <c r="AE161" i="4" s="1"/>
  <c r="AE90" i="4" s="1"/>
  <c r="AE174" i="4" s="1"/>
  <c r="AE157" i="4"/>
  <c r="AE92" i="4" l="1"/>
  <c r="AE253" i="4" s="1"/>
  <c r="AE159" i="4"/>
  <c r="AF156" i="4" s="1"/>
  <c r="AF175" i="4"/>
  <c r="AF223" i="4" s="1"/>
  <c r="AE176" i="4"/>
  <c r="AE245" i="4" l="1"/>
  <c r="AE242" i="4"/>
  <c r="AE246" i="4"/>
  <c r="AE199" i="4"/>
  <c r="AE201" i="4" s="1"/>
  <c r="AF198" i="4" s="1"/>
  <c r="AF224" i="4"/>
  <c r="AF173" i="4"/>
  <c r="AE114" i="4"/>
  <c r="AE127" i="4" l="1"/>
  <c r="AE128" i="4" s="1"/>
  <c r="AE243" i="4" s="1"/>
  <c r="AF225" i="4"/>
  <c r="AF227" i="4" s="1"/>
  <c r="AF230" i="4" s="1"/>
  <c r="AF99" i="4" s="1"/>
  <c r="AF85" i="4"/>
  <c r="AE115" i="4"/>
  <c r="AE235" i="4" s="1"/>
  <c r="J58" i="9" l="1"/>
  <c r="AE239" i="4"/>
  <c r="AG229" i="4"/>
  <c r="AE121" i="4"/>
  <c r="AE123" i="4" s="1"/>
  <c r="AE130" i="4" s="1"/>
  <c r="AF101" i="4"/>
  <c r="AF109" i="4" s="1"/>
  <c r="AF88" i="4"/>
  <c r="AF238" i="4" l="1"/>
  <c r="AF249" i="4"/>
  <c r="J32" i="9"/>
  <c r="J34" i="9" s="1"/>
  <c r="AF157" i="4"/>
  <c r="AF158" i="4"/>
  <c r="AF161" i="4" s="1"/>
  <c r="AF90" i="4" s="1"/>
  <c r="AF174" i="4" s="1"/>
  <c r="AF92" i="4" l="1"/>
  <c r="AF246" i="4" s="1"/>
  <c r="AG175" i="4"/>
  <c r="AG223" i="4" s="1"/>
  <c r="AF176" i="4"/>
  <c r="AF159" i="4"/>
  <c r="AG156" i="4" s="1"/>
  <c r="AF253" i="4" l="1"/>
  <c r="AF199" i="4"/>
  <c r="AF201" i="4" s="1"/>
  <c r="AF127" i="4" s="1"/>
  <c r="AF245" i="4"/>
  <c r="AF242" i="4"/>
  <c r="AF114" i="4"/>
  <c r="AG173" i="4"/>
  <c r="AG224" i="4"/>
  <c r="AG198" i="4" l="1"/>
  <c r="AG225" i="4"/>
  <c r="AG227" i="4" s="1"/>
  <c r="AG230" i="4" s="1"/>
  <c r="AG85" i="4"/>
  <c r="J45" i="9"/>
  <c r="J46" i="9" s="1"/>
  <c r="AF128" i="4"/>
  <c r="AF115" i="4"/>
  <c r="AF121" i="4" s="1"/>
  <c r="AF123" i="4" s="1"/>
  <c r="AF130" i="4" l="1"/>
  <c r="AG99" i="4"/>
  <c r="AH229" i="4"/>
  <c r="J37" i="9"/>
  <c r="J39" i="9" s="1"/>
  <c r="J41" i="9" s="1"/>
  <c r="J48" i="9" s="1"/>
  <c r="AF235" i="4"/>
  <c r="AF239" i="4"/>
  <c r="AF243" i="4"/>
  <c r="AG101" i="4" l="1"/>
  <c r="AG109" i="4" s="1"/>
  <c r="AG238" i="4" l="1"/>
  <c r="AG249" i="4"/>
  <c r="AG88" i="4"/>
  <c r="AG157" i="4" l="1"/>
  <c r="AG158" i="4"/>
  <c r="AG161" i="4" s="1"/>
  <c r="AG90" i="4" s="1"/>
  <c r="AG92" i="4" s="1"/>
  <c r="AG253" i="4" l="1"/>
  <c r="AG199" i="4"/>
  <c r="AG201" i="4" s="1"/>
  <c r="AG245" i="4"/>
  <c r="AG242" i="4"/>
  <c r="AG246" i="4"/>
  <c r="AG174" i="4"/>
  <c r="AG159" i="4"/>
  <c r="AH156" i="4" s="1"/>
  <c r="AG127" i="4" l="1"/>
  <c r="AG128" i="4" s="1"/>
  <c r="AH198" i="4"/>
  <c r="AH175" i="4"/>
  <c r="AH223" i="4" s="1"/>
  <c r="AH224" i="4" s="1"/>
  <c r="AG176" i="4"/>
  <c r="AH225" i="4" l="1"/>
  <c r="AH227" i="4" s="1"/>
  <c r="AH230" i="4" s="1"/>
  <c r="AH85" i="4"/>
  <c r="AG239" i="4"/>
  <c r="AG243" i="4"/>
  <c r="AH173" i="4"/>
  <c r="AG114" i="4"/>
  <c r="AG115" i="4" l="1"/>
  <c r="AG235" i="4" s="1"/>
  <c r="AH99" i="4"/>
  <c r="AI229" i="4"/>
  <c r="AG121" i="4" l="1"/>
  <c r="AG123" i="4" s="1"/>
  <c r="AG130" i="4" s="1"/>
  <c r="AH101" i="4"/>
  <c r="AH109" i="4" s="1"/>
  <c r="AH238" i="4" l="1"/>
  <c r="AH249" i="4"/>
  <c r="AH88" i="4"/>
  <c r="AH158" i="4" l="1"/>
  <c r="AH161" i="4" s="1"/>
  <c r="AH90" i="4" s="1"/>
  <c r="AH92" i="4" s="1"/>
  <c r="AH157" i="4"/>
  <c r="AH159" i="4" l="1"/>
  <c r="AI156" i="4" s="1"/>
  <c r="AH242" i="4"/>
  <c r="AH253" i="4"/>
  <c r="AH199" i="4"/>
  <c r="AH201" i="4" s="1"/>
  <c r="AH246" i="4"/>
  <c r="AH245" i="4"/>
  <c r="AH174" i="4"/>
  <c r="AI198" i="4" l="1"/>
  <c r="AH127" i="4"/>
  <c r="AH128" i="4" s="1"/>
  <c r="AI175" i="4"/>
  <c r="AI223" i="4" s="1"/>
  <c r="AH176" i="4"/>
  <c r="AI173" i="4" l="1"/>
  <c r="AH114" i="4"/>
  <c r="AI224" i="4"/>
  <c r="AH243" i="4"/>
  <c r="AH239" i="4"/>
  <c r="AI225" i="4" l="1"/>
  <c r="AI227" i="4" s="1"/>
  <c r="AI230" i="4" s="1"/>
  <c r="AI85" i="4"/>
  <c r="AH115" i="4"/>
  <c r="AH235" i="4" s="1"/>
  <c r="AH121" i="4" l="1"/>
  <c r="AH123" i="4" s="1"/>
  <c r="AH130" i="4" s="1"/>
  <c r="AI99" i="4"/>
  <c r="AJ229" i="4"/>
  <c r="AI101" i="4" l="1"/>
  <c r="AI109" i="4" s="1"/>
  <c r="AI88" i="4" l="1"/>
  <c r="AI238" i="4"/>
  <c r="AI249" i="4"/>
  <c r="AI157" i="4" l="1"/>
  <c r="AI158" i="4"/>
  <c r="AI161" i="4" s="1"/>
  <c r="AI90" i="4" s="1"/>
  <c r="AI174" i="4" l="1"/>
  <c r="AI159" i="4"/>
  <c r="AJ156" i="4" s="1"/>
  <c r="AI92" i="4"/>
  <c r="AJ175" i="4" l="1"/>
  <c r="AJ223" i="4" s="1"/>
  <c r="AI176" i="4"/>
  <c r="AI253" i="4"/>
  <c r="AI199" i="4"/>
  <c r="AI201" i="4" s="1"/>
  <c r="AI246" i="4"/>
  <c r="AI242" i="4"/>
  <c r="AI245" i="4"/>
  <c r="AI127" i="4" l="1"/>
  <c r="AI128" i="4" s="1"/>
  <c r="AJ198" i="4"/>
  <c r="AI114" i="4"/>
  <c r="AJ173" i="4"/>
  <c r="AJ224" i="4"/>
  <c r="AJ225" i="4" l="1"/>
  <c r="AJ227" i="4" s="1"/>
  <c r="AJ230" i="4" s="1"/>
  <c r="AJ99" i="4" s="1"/>
  <c r="AJ85" i="4"/>
  <c r="AI115" i="4"/>
  <c r="AI235" i="4" s="1"/>
  <c r="AI239" i="4"/>
  <c r="AI243" i="4"/>
  <c r="AK229" i="4" l="1"/>
  <c r="AI121" i="4"/>
  <c r="AI123" i="4" s="1"/>
  <c r="AI130" i="4" s="1"/>
  <c r="AJ101" i="4"/>
  <c r="AJ109" i="4" s="1"/>
  <c r="AJ238" i="4" l="1"/>
  <c r="AJ249" i="4"/>
  <c r="AJ88" i="4"/>
  <c r="AJ157" i="4" l="1"/>
  <c r="AJ158" i="4"/>
  <c r="AJ161" i="4" s="1"/>
  <c r="AJ90" i="4" s="1"/>
  <c r="AJ92" i="4" s="1"/>
  <c r="AJ253" i="4" l="1"/>
  <c r="AJ246" i="4"/>
  <c r="AJ245" i="4"/>
  <c r="AJ199" i="4"/>
  <c r="AJ201" i="4" s="1"/>
  <c r="AJ242" i="4"/>
  <c r="AJ174" i="4"/>
  <c r="AJ159" i="4"/>
  <c r="AK156" i="4" s="1"/>
  <c r="AK175" i="4" l="1"/>
  <c r="AK223" i="4" s="1"/>
  <c r="AJ176" i="4"/>
  <c r="AJ127" i="4"/>
  <c r="AJ128" i="4" s="1"/>
  <c r="AK198" i="4"/>
  <c r="AJ239" i="4" l="1"/>
  <c r="AJ243" i="4"/>
  <c r="AK173" i="4"/>
  <c r="AJ114" i="4"/>
  <c r="AK224" i="4"/>
  <c r="AK85" i="4" s="1"/>
  <c r="AK225" i="4" l="1"/>
  <c r="AK227" i="4" s="1"/>
  <c r="AK230" i="4" s="1"/>
  <c r="AL229" i="4" s="1"/>
  <c r="AJ115" i="4"/>
  <c r="AJ235" i="4" s="1"/>
  <c r="AK99" i="4" l="1"/>
  <c r="AK101" i="4" s="1"/>
  <c r="AJ121" i="4"/>
  <c r="AJ123" i="4" s="1"/>
  <c r="AJ130" i="4" s="1"/>
  <c r="AK109" i="4" l="1"/>
  <c r="AK238" i="4" s="1"/>
  <c r="AK88" i="4"/>
  <c r="AK249" i="4" l="1"/>
  <c r="AK157" i="4"/>
  <c r="AK158" i="4"/>
  <c r="AK161" i="4" s="1"/>
  <c r="AK90" i="4" s="1"/>
  <c r="AK92" i="4" s="1"/>
  <c r="AK253" i="4" l="1"/>
  <c r="AK246" i="4"/>
  <c r="AK242" i="4"/>
  <c r="AK199" i="4"/>
  <c r="AK201" i="4" s="1"/>
  <c r="AK245" i="4"/>
  <c r="AK174" i="4"/>
  <c r="AK159" i="4"/>
  <c r="AL156" i="4" s="1"/>
  <c r="AL175" i="4" l="1"/>
  <c r="AL223" i="4" s="1"/>
  <c r="AL224" i="4" s="1"/>
  <c r="AK176" i="4"/>
  <c r="AK127" i="4"/>
  <c r="AK128" i="4" s="1"/>
  <c r="AL198" i="4"/>
  <c r="AL225" i="4" l="1"/>
  <c r="AL227" i="4" s="1"/>
  <c r="AL230" i="4" s="1"/>
  <c r="AL99" i="4" s="1"/>
  <c r="AL85" i="4"/>
  <c r="AK114" i="4"/>
  <c r="AL173" i="4"/>
  <c r="AK243" i="4"/>
  <c r="AK239" i="4"/>
  <c r="AM229" i="4" l="1"/>
  <c r="AK115" i="4"/>
  <c r="AK235" i="4" s="1"/>
  <c r="AL101" i="4"/>
  <c r="AL109" i="4" s="1"/>
  <c r="AL88" i="4"/>
  <c r="AK121" i="4" l="1"/>
  <c r="AK123" i="4" s="1"/>
  <c r="AK130" i="4" s="1"/>
  <c r="AL238" i="4"/>
  <c r="AL249" i="4"/>
  <c r="AL158" i="4"/>
  <c r="AL161" i="4" s="1"/>
  <c r="AL90" i="4" s="1"/>
  <c r="AL174" i="4" s="1"/>
  <c r="AL157" i="4"/>
  <c r="AL159" i="4" l="1"/>
  <c r="AM156" i="4" s="1"/>
  <c r="AL92" i="4"/>
  <c r="AM175" i="4"/>
  <c r="AM223" i="4" s="1"/>
  <c r="AL176" i="4"/>
  <c r="AM173" i="4" l="1"/>
  <c r="AL114" i="4"/>
  <c r="AM224" i="4"/>
  <c r="AL253" i="4"/>
  <c r="AL246" i="4"/>
  <c r="AL199" i="4"/>
  <c r="AL201" i="4" s="1"/>
  <c r="AL245" i="4"/>
  <c r="AL242" i="4"/>
  <c r="AM225" i="4" l="1"/>
  <c r="AM227" i="4" s="1"/>
  <c r="AM230" i="4" s="1"/>
  <c r="AM99" i="4" s="1"/>
  <c r="AM85" i="4"/>
  <c r="AM198" i="4"/>
  <c r="AL127" i="4"/>
  <c r="AL128" i="4" s="1"/>
  <c r="AL115" i="4"/>
  <c r="AL235" i="4" s="1"/>
  <c r="AL121" i="4" l="1"/>
  <c r="AL123" i="4" s="1"/>
  <c r="AL130" i="4" s="1"/>
  <c r="AN229" i="4"/>
  <c r="AL239" i="4"/>
  <c r="AL243" i="4"/>
  <c r="AM101" i="4"/>
  <c r="AM109" i="4" s="1"/>
  <c r="AM88" i="4"/>
  <c r="AM238" i="4" l="1"/>
  <c r="AM249" i="4"/>
  <c r="AM157" i="4"/>
  <c r="AM158" i="4"/>
  <c r="AM161" i="4" s="1"/>
  <c r="AM90" i="4" s="1"/>
  <c r="AM174" i="4" s="1"/>
  <c r="AM92" i="4" l="1"/>
  <c r="AN175" i="4"/>
  <c r="AN223" i="4" s="1"/>
  <c r="AN224" i="4" s="1"/>
  <c r="AM176" i="4"/>
  <c r="AM159" i="4"/>
  <c r="AN156" i="4" s="1"/>
  <c r="AN225" i="4" l="1"/>
  <c r="AN227" i="4" s="1"/>
  <c r="AN230" i="4" s="1"/>
  <c r="AN99" i="4" s="1"/>
  <c r="AN85" i="4"/>
  <c r="AN173" i="4"/>
  <c r="AM114" i="4"/>
  <c r="AM253" i="4"/>
  <c r="AM245" i="4"/>
  <c r="AM199" i="4"/>
  <c r="AM201" i="4" s="1"/>
  <c r="AM242" i="4"/>
  <c r="AM246" i="4"/>
  <c r="AO229" i="4" l="1"/>
  <c r="AM127" i="4"/>
  <c r="AM128" i="4" s="1"/>
  <c r="AN198" i="4"/>
  <c r="AN101" i="4"/>
  <c r="AN109" i="4" s="1"/>
  <c r="AN88" i="4"/>
  <c r="AM115" i="4"/>
  <c r="AM235" i="4" s="1"/>
  <c r="AM121" i="4" l="1"/>
  <c r="AM123" i="4" s="1"/>
  <c r="AM130" i="4" s="1"/>
  <c r="AN238" i="4"/>
  <c r="AN249" i="4"/>
  <c r="AN158" i="4"/>
  <c r="AN161" i="4" s="1"/>
  <c r="AN90" i="4" s="1"/>
  <c r="AN174" i="4" s="1"/>
  <c r="AN157" i="4"/>
  <c r="AM243" i="4"/>
  <c r="AM239" i="4"/>
  <c r="AN159" i="4" l="1"/>
  <c r="AO156" i="4" s="1"/>
  <c r="AN92" i="4"/>
  <c r="AO175" i="4"/>
  <c r="AO223" i="4" s="1"/>
  <c r="AO224" i="4" s="1"/>
  <c r="AN176" i="4"/>
  <c r="AO225" i="4" l="1"/>
  <c r="AO227" i="4" s="1"/>
  <c r="AO230" i="4" s="1"/>
  <c r="AO99" i="4" s="1"/>
  <c r="AO85" i="4"/>
  <c r="AO173" i="4"/>
  <c r="AN114" i="4"/>
  <c r="AN253" i="4"/>
  <c r="AN246" i="4"/>
  <c r="AN242" i="4"/>
  <c r="AN199" i="4"/>
  <c r="AN201" i="4" s="1"/>
  <c r="AN245" i="4"/>
  <c r="AP229" i="4" l="1"/>
  <c r="AO101" i="4"/>
  <c r="AO109" i="4" s="1"/>
  <c r="AO88" i="4"/>
  <c r="AN115" i="4"/>
  <c r="AN235" i="4" s="1"/>
  <c r="AN127" i="4"/>
  <c r="AN128" i="4" s="1"/>
  <c r="AO198" i="4"/>
  <c r="AO157" i="4" l="1"/>
  <c r="AO158" i="4"/>
  <c r="AO161" i="4" s="1"/>
  <c r="AO90" i="4" s="1"/>
  <c r="AO174" i="4" s="1"/>
  <c r="AN121" i="4"/>
  <c r="AN123" i="4" s="1"/>
  <c r="AN130" i="4" s="1"/>
  <c r="AO238" i="4"/>
  <c r="AO249" i="4"/>
  <c r="AN243" i="4"/>
  <c r="AN239" i="4"/>
  <c r="AO92" i="4" l="1"/>
  <c r="AP175" i="4"/>
  <c r="AP223" i="4" s="1"/>
  <c r="AP224" i="4" s="1"/>
  <c r="AO176" i="4"/>
  <c r="AO159" i="4"/>
  <c r="AP156" i="4" s="1"/>
  <c r="AP225" i="4" l="1"/>
  <c r="AP227" i="4" s="1"/>
  <c r="AP230" i="4" s="1"/>
  <c r="AP99" i="4" s="1"/>
  <c r="AP85" i="4"/>
  <c r="AO253" i="4"/>
  <c r="AO199" i="4"/>
  <c r="AO201" i="4" s="1"/>
  <c r="AO245" i="4"/>
  <c r="AO246" i="4"/>
  <c r="AO242" i="4"/>
  <c r="AP173" i="4"/>
  <c r="AO114" i="4"/>
  <c r="AQ229" i="4" l="1"/>
  <c r="AO127" i="4"/>
  <c r="AO128" i="4" s="1"/>
  <c r="AP198" i="4"/>
  <c r="AO115" i="4"/>
  <c r="AO235" i="4" s="1"/>
  <c r="AP101" i="4"/>
  <c r="AP109" i="4" s="1"/>
  <c r="AP88" i="4"/>
  <c r="AO121" i="4" l="1"/>
  <c r="AO123" i="4" s="1"/>
  <c r="AO130" i="4" s="1"/>
  <c r="AP238" i="4"/>
  <c r="AP249" i="4"/>
  <c r="AP158" i="4"/>
  <c r="AP161" i="4" s="1"/>
  <c r="AP90" i="4" s="1"/>
  <c r="AP174" i="4" s="1"/>
  <c r="AP157" i="4"/>
  <c r="AO243" i="4"/>
  <c r="AO239" i="4"/>
  <c r="AP159" i="4" l="1"/>
  <c r="AQ156" i="4" s="1"/>
  <c r="AP92" i="4"/>
  <c r="AP253" i="4" s="1"/>
  <c r="AQ175" i="4"/>
  <c r="AQ223" i="4" s="1"/>
  <c r="AQ224" i="4" s="1"/>
  <c r="AP176" i="4"/>
  <c r="AP245" i="4" l="1"/>
  <c r="AP242" i="4"/>
  <c r="AQ225" i="4"/>
  <c r="AQ227" i="4" s="1"/>
  <c r="AQ230" i="4" s="1"/>
  <c r="AQ99" i="4" s="1"/>
  <c r="AQ85" i="4"/>
  <c r="AP246" i="4"/>
  <c r="AP199" i="4"/>
  <c r="AP201" i="4" s="1"/>
  <c r="AQ198" i="4" s="1"/>
  <c r="AQ173" i="4"/>
  <c r="AP114" i="4"/>
  <c r="AP127" i="4" l="1"/>
  <c r="AP128" i="4" s="1"/>
  <c r="AP243" i="4" s="1"/>
  <c r="AR229" i="4"/>
  <c r="K57" i="9" s="1"/>
  <c r="AP115" i="4"/>
  <c r="AP235" i="4" s="1"/>
  <c r="AQ101" i="4"/>
  <c r="AQ109" i="4" s="1"/>
  <c r="AQ88" i="4"/>
  <c r="AP239" i="4" l="1"/>
  <c r="AP121" i="4"/>
  <c r="AP123" i="4" s="1"/>
  <c r="AP130" i="4" s="1"/>
  <c r="AQ157" i="4"/>
  <c r="AQ158" i="4"/>
  <c r="AQ161" i="4" s="1"/>
  <c r="AQ90" i="4" s="1"/>
  <c r="AQ174" i="4" s="1"/>
  <c r="AQ238" i="4"/>
  <c r="AQ249" i="4"/>
  <c r="AQ159" i="4" l="1"/>
  <c r="AR156" i="4" s="1"/>
  <c r="AR175" i="4"/>
  <c r="AR223" i="4" s="1"/>
  <c r="AR224" i="4" s="1"/>
  <c r="AQ176" i="4"/>
  <c r="AQ92" i="4"/>
  <c r="AR225" i="4" l="1"/>
  <c r="AR227" i="4" s="1"/>
  <c r="AR230" i="4" s="1"/>
  <c r="AR99" i="4" s="1"/>
  <c r="AR85" i="4"/>
  <c r="AQ253" i="4"/>
  <c r="AQ245" i="4"/>
  <c r="AQ199" i="4"/>
  <c r="AQ201" i="4" s="1"/>
  <c r="AQ242" i="4"/>
  <c r="AQ246" i="4"/>
  <c r="AR173" i="4"/>
  <c r="AQ114" i="4"/>
  <c r="K58" i="9" l="1"/>
  <c r="AS229" i="4"/>
  <c r="AQ127" i="4"/>
  <c r="AQ128" i="4" s="1"/>
  <c r="AR198" i="4"/>
  <c r="AR101" i="4"/>
  <c r="AR109" i="4" s="1"/>
  <c r="AR88" i="4"/>
  <c r="AQ115" i="4"/>
  <c r="AQ235" i="4" s="1"/>
  <c r="AR238" i="4" l="1"/>
  <c r="AR249" i="4"/>
  <c r="K32" i="9"/>
  <c r="K34" i="9" s="1"/>
  <c r="AQ121" i="4"/>
  <c r="AQ123" i="4" s="1"/>
  <c r="AQ130" i="4" s="1"/>
  <c r="AR158" i="4"/>
  <c r="AR161" i="4" s="1"/>
  <c r="AR90" i="4" s="1"/>
  <c r="AR174" i="4" s="1"/>
  <c r="AR157" i="4"/>
  <c r="AQ239" i="4"/>
  <c r="AQ243" i="4"/>
  <c r="AR159" i="4" l="1"/>
  <c r="AS156" i="4" s="1"/>
  <c r="AS175" i="4"/>
  <c r="AS223" i="4" s="1"/>
  <c r="AR176" i="4"/>
  <c r="AR92" i="4"/>
  <c r="AS173" i="4" l="1"/>
  <c r="AR114" i="4"/>
  <c r="AS224" i="4"/>
  <c r="AR253" i="4"/>
  <c r="AR199" i="4"/>
  <c r="AR201" i="4" s="1"/>
  <c r="AR245" i="4"/>
  <c r="AR242" i="4"/>
  <c r="AR246" i="4"/>
  <c r="AS225" i="4" l="1"/>
  <c r="AS227" i="4" s="1"/>
  <c r="AS230" i="4" s="1"/>
  <c r="AS85" i="4"/>
  <c r="AS198" i="4"/>
  <c r="AR127" i="4"/>
  <c r="AR115" i="4"/>
  <c r="AR121" i="4" s="1"/>
  <c r="AR123" i="4" s="1"/>
  <c r="AS99" i="4" l="1"/>
  <c r="AT229" i="4"/>
  <c r="K37" i="9"/>
  <c r="K39" i="9" s="1"/>
  <c r="K41" i="9" s="1"/>
  <c r="AR235" i="4"/>
  <c r="AR128" i="4"/>
  <c r="K45" i="9"/>
  <c r="K46" i="9" s="1"/>
  <c r="AR239" i="4" l="1"/>
  <c r="AR243" i="4"/>
  <c r="K48" i="9"/>
  <c r="AR130" i="4"/>
  <c r="AS101" i="4"/>
  <c r="AS109" i="4" s="1"/>
  <c r="AS238" i="4" l="1"/>
  <c r="AS249" i="4"/>
  <c r="AS88" i="4"/>
  <c r="AS158" i="4" l="1"/>
  <c r="AS161" i="4" s="1"/>
  <c r="AS90" i="4" s="1"/>
  <c r="AS92" i="4" s="1"/>
  <c r="AS157" i="4"/>
  <c r="AS159" i="4" l="1"/>
  <c r="AT156" i="4" s="1"/>
  <c r="AS253" i="4"/>
  <c r="AS245" i="4"/>
  <c r="AS246" i="4"/>
  <c r="AS199" i="4"/>
  <c r="AS201" i="4" s="1"/>
  <c r="AS242" i="4"/>
  <c r="AS174" i="4"/>
  <c r="AT198" i="4" l="1"/>
  <c r="AS127" i="4"/>
  <c r="AS128" i="4" s="1"/>
  <c r="AT175" i="4"/>
  <c r="AT223" i="4" s="1"/>
  <c r="AS176" i="4"/>
  <c r="AS239" i="4" l="1"/>
  <c r="AS243" i="4"/>
  <c r="AT173" i="4"/>
  <c r="AS114" i="4"/>
  <c r="AT224" i="4"/>
  <c r="AT85" i="4" s="1"/>
  <c r="AT225" i="4" l="1"/>
  <c r="AS115" i="4"/>
  <c r="AS235" i="4" s="1"/>
  <c r="AS121" i="4" l="1"/>
  <c r="AS123" i="4" s="1"/>
  <c r="AS130" i="4" s="1"/>
  <c r="AT227" i="4"/>
  <c r="AT230" i="4" s="1"/>
  <c r="AT99" i="4" l="1"/>
  <c r="AU229" i="4"/>
  <c r="AT101" i="4" l="1"/>
  <c r="AT109" i="4" s="1"/>
  <c r="AT88" i="4" l="1"/>
  <c r="AT238" i="4"/>
  <c r="AT249" i="4"/>
  <c r="AT157" i="4" l="1"/>
  <c r="AT158" i="4"/>
  <c r="AT161" i="4" s="1"/>
  <c r="AT90" i="4" s="1"/>
  <c r="AT92" i="4" s="1"/>
  <c r="AT199" i="4" l="1"/>
  <c r="AT201" i="4" s="1"/>
  <c r="AT246" i="4"/>
  <c r="AT253" i="4"/>
  <c r="AT242" i="4"/>
  <c r="AT245" i="4"/>
  <c r="AT174" i="4"/>
  <c r="AT159" i="4"/>
  <c r="AU156" i="4" s="1"/>
  <c r="AU175" i="4" l="1"/>
  <c r="AU223" i="4" s="1"/>
  <c r="AT176" i="4"/>
  <c r="AU198" i="4"/>
  <c r="AT127" i="4"/>
  <c r="AT128" i="4" s="1"/>
  <c r="AT243" i="4" l="1"/>
  <c r="AT239" i="4"/>
  <c r="AU173" i="4"/>
  <c r="AT114" i="4"/>
  <c r="AU224" i="4"/>
  <c r="AU225" i="4" l="1"/>
  <c r="AU227" i="4" s="1"/>
  <c r="AU230" i="4" s="1"/>
  <c r="AU85" i="4"/>
  <c r="AT115" i="4"/>
  <c r="AT235" i="4" s="1"/>
  <c r="AT121" i="4" l="1"/>
  <c r="AT123" i="4" s="1"/>
  <c r="AT130" i="4" s="1"/>
  <c r="AU99" i="4"/>
  <c r="AV229" i="4"/>
  <c r="AU101" i="4" l="1"/>
  <c r="AU109" i="4" s="1"/>
  <c r="AU238" i="4" l="1"/>
  <c r="AU249" i="4"/>
  <c r="AU88" i="4"/>
  <c r="AU157" i="4" l="1"/>
  <c r="AU158" i="4"/>
  <c r="AU161" i="4" s="1"/>
  <c r="AU90" i="4" s="1"/>
  <c r="AU92" i="4" s="1"/>
  <c r="AU246" i="4" l="1"/>
  <c r="AU242" i="4"/>
  <c r="AU253" i="4"/>
  <c r="AU199" i="4"/>
  <c r="AU201" i="4" s="1"/>
  <c r="AU245" i="4"/>
  <c r="AU159" i="4"/>
  <c r="AV156" i="4" s="1"/>
  <c r="AU174" i="4"/>
  <c r="AU127" i="4" l="1"/>
  <c r="AU128" i="4" s="1"/>
  <c r="AV198" i="4"/>
  <c r="AV175" i="4"/>
  <c r="AV223" i="4" s="1"/>
  <c r="AU176" i="4"/>
  <c r="AV224" i="4" l="1"/>
  <c r="AV173" i="4"/>
  <c r="AU114" i="4"/>
  <c r="AU239" i="4"/>
  <c r="AU243" i="4"/>
  <c r="AV225" i="4" l="1"/>
  <c r="AV227" i="4" s="1"/>
  <c r="AV230" i="4" s="1"/>
  <c r="AV85" i="4"/>
  <c r="AU115" i="4"/>
  <c r="AU235" i="4" s="1"/>
  <c r="AU121" i="4" l="1"/>
  <c r="AU123" i="4" s="1"/>
  <c r="AU130" i="4" s="1"/>
  <c r="AV99" i="4"/>
  <c r="AW229" i="4"/>
  <c r="AV101" i="4" l="1"/>
  <c r="AV109" i="4" s="1"/>
  <c r="AV238" i="4" l="1"/>
  <c r="AV249" i="4"/>
  <c r="AV88" i="4"/>
  <c r="AV157" i="4" l="1"/>
  <c r="AV158" i="4"/>
  <c r="AV161" i="4" s="1"/>
  <c r="AV90" i="4" s="1"/>
  <c r="AV159" i="4" l="1"/>
  <c r="AW156" i="4" s="1"/>
  <c r="AV92" i="4"/>
  <c r="AV174" i="4"/>
  <c r="AW175" i="4" l="1"/>
  <c r="AW223" i="4" s="1"/>
  <c r="AV176" i="4"/>
  <c r="AV199" i="4"/>
  <c r="AV201" i="4" s="1"/>
  <c r="AV242" i="4"/>
  <c r="AV246" i="4"/>
  <c r="AV253" i="4"/>
  <c r="AV245" i="4"/>
  <c r="AW198" i="4" l="1"/>
  <c r="AV127" i="4"/>
  <c r="AV128" i="4" s="1"/>
  <c r="AW173" i="4"/>
  <c r="AV114" i="4"/>
  <c r="AW224" i="4"/>
  <c r="AW85" i="4" s="1"/>
  <c r="AW225" i="4" l="1"/>
  <c r="AW227" i="4" s="1"/>
  <c r="AW230" i="4" s="1"/>
  <c r="AV115" i="4"/>
  <c r="AV235" i="4" s="1"/>
  <c r="AV243" i="4"/>
  <c r="AV239" i="4"/>
  <c r="AV121" i="4" l="1"/>
  <c r="AV123" i="4" s="1"/>
  <c r="AV130" i="4" s="1"/>
  <c r="AW99" i="4"/>
  <c r="AX229" i="4"/>
  <c r="AW101" i="4" l="1"/>
  <c r="AW109" i="4" s="1"/>
  <c r="AW238" i="4" l="1"/>
  <c r="AW249" i="4"/>
  <c r="AW88" i="4"/>
  <c r="AW157" i="4" l="1"/>
  <c r="AW158" i="4"/>
  <c r="AW161" i="4" s="1"/>
  <c r="AW90" i="4" s="1"/>
  <c r="AW174" i="4" l="1"/>
  <c r="AW92" i="4"/>
  <c r="AW159" i="4"/>
  <c r="AX156" i="4" s="1"/>
  <c r="AW245" i="4" l="1"/>
  <c r="AW242" i="4"/>
  <c r="AW253" i="4"/>
  <c r="AW246" i="4"/>
  <c r="AW199" i="4"/>
  <c r="AW201" i="4" s="1"/>
  <c r="AX175" i="4"/>
  <c r="AX223" i="4" s="1"/>
  <c r="AX224" i="4" s="1"/>
  <c r="AW176" i="4"/>
  <c r="AX225" i="4" l="1"/>
  <c r="AX227" i="4" s="1"/>
  <c r="AX230" i="4" s="1"/>
  <c r="AX99" i="4" s="1"/>
  <c r="AX85" i="4"/>
  <c r="AW127" i="4"/>
  <c r="AW128" i="4" s="1"/>
  <c r="AX198" i="4"/>
  <c r="AX173" i="4"/>
  <c r="AW114" i="4"/>
  <c r="AY229" i="4" l="1"/>
  <c r="AW115" i="4"/>
  <c r="AW235" i="4" s="1"/>
  <c r="AX101" i="4"/>
  <c r="AX109" i="4" s="1"/>
  <c r="AX88" i="4"/>
  <c r="AW243" i="4"/>
  <c r="AW239" i="4"/>
  <c r="AW121" i="4" l="1"/>
  <c r="AW123" i="4" s="1"/>
  <c r="AW130" i="4" s="1"/>
  <c r="AX238" i="4"/>
  <c r="AX249" i="4"/>
  <c r="AX157" i="4"/>
  <c r="AX158" i="4"/>
  <c r="AX161" i="4" s="1"/>
  <c r="AX90" i="4" s="1"/>
  <c r="AX159" i="4" l="1"/>
  <c r="AY156" i="4" s="1"/>
  <c r="AX92" i="4"/>
  <c r="AX174" i="4"/>
  <c r="AY175" i="4" l="1"/>
  <c r="AY223" i="4" s="1"/>
  <c r="AX176" i="4"/>
  <c r="AX253" i="4"/>
  <c r="AX242" i="4"/>
  <c r="AX245" i="4"/>
  <c r="AX199" i="4"/>
  <c r="AX201" i="4" s="1"/>
  <c r="AX246" i="4"/>
  <c r="AX127" i="4" l="1"/>
  <c r="AX128" i="4" s="1"/>
  <c r="AY198" i="4"/>
  <c r="AY173" i="4"/>
  <c r="AX114" i="4"/>
  <c r="AY224" i="4"/>
  <c r="AY225" i="4" l="1"/>
  <c r="AY227" i="4" s="1"/>
  <c r="AY230" i="4" s="1"/>
  <c r="AY99" i="4" s="1"/>
  <c r="AY85" i="4"/>
  <c r="AX115" i="4"/>
  <c r="AX235" i="4" s="1"/>
  <c r="AX239" i="4"/>
  <c r="AX243" i="4"/>
  <c r="AZ229" i="4" l="1"/>
  <c r="AX121" i="4"/>
  <c r="AX123" i="4" s="1"/>
  <c r="AX130" i="4" s="1"/>
  <c r="AY101" i="4"/>
  <c r="AY109" i="4" s="1"/>
  <c r="AY88" i="4"/>
  <c r="AY157" i="4" l="1"/>
  <c r="AY158" i="4"/>
  <c r="AY161" i="4" s="1"/>
  <c r="AY90" i="4" s="1"/>
  <c r="AY174" i="4" s="1"/>
  <c r="AY238" i="4"/>
  <c r="AY249" i="4"/>
  <c r="AY159" i="4" l="1"/>
  <c r="AZ156" i="4" s="1"/>
  <c r="AY92" i="4"/>
  <c r="AZ175" i="4"/>
  <c r="AZ223" i="4" s="1"/>
  <c r="AY176" i="4"/>
  <c r="AZ224" i="4" l="1"/>
  <c r="AY199" i="4"/>
  <c r="AY201" i="4" s="1"/>
  <c r="AY245" i="4"/>
  <c r="AY246" i="4"/>
  <c r="AY242" i="4"/>
  <c r="AY253" i="4"/>
  <c r="AZ173" i="4"/>
  <c r="AY114" i="4"/>
  <c r="AZ225" i="4" l="1"/>
  <c r="AZ227" i="4" s="1"/>
  <c r="AZ230" i="4" s="1"/>
  <c r="AZ99" i="4" s="1"/>
  <c r="AZ85" i="4"/>
  <c r="AY115" i="4"/>
  <c r="AY235" i="4" s="1"/>
  <c r="AY127" i="4"/>
  <c r="AY128" i="4" s="1"/>
  <c r="AZ198" i="4"/>
  <c r="BA229" i="4" l="1"/>
  <c r="AY121" i="4"/>
  <c r="AY123" i="4" s="1"/>
  <c r="AY130" i="4" s="1"/>
  <c r="AZ101" i="4"/>
  <c r="AZ109" i="4" s="1"/>
  <c r="AZ88" i="4"/>
  <c r="AY243" i="4"/>
  <c r="AY239" i="4"/>
  <c r="AZ157" i="4" l="1"/>
  <c r="AZ158" i="4"/>
  <c r="AZ161" i="4" s="1"/>
  <c r="AZ90" i="4" s="1"/>
  <c r="AZ174" i="4" s="1"/>
  <c r="AZ238" i="4"/>
  <c r="AZ249" i="4"/>
  <c r="BA175" i="4" l="1"/>
  <c r="BA223" i="4" s="1"/>
  <c r="BA224" i="4" s="1"/>
  <c r="AZ176" i="4"/>
  <c r="AZ159" i="4"/>
  <c r="BA156" i="4" s="1"/>
  <c r="AZ92" i="4"/>
  <c r="BA225" i="4" l="1"/>
  <c r="BA227" i="4" s="1"/>
  <c r="BA230" i="4" s="1"/>
  <c r="BA99" i="4" s="1"/>
  <c r="BA85" i="4"/>
  <c r="BA173" i="4"/>
  <c r="AZ114" i="4"/>
  <c r="AZ253" i="4"/>
  <c r="AZ245" i="4"/>
  <c r="AZ242" i="4"/>
  <c r="AZ246" i="4"/>
  <c r="AZ199" i="4"/>
  <c r="AZ201" i="4" s="1"/>
  <c r="BB229" i="4" l="1"/>
  <c r="BA101" i="4"/>
  <c r="BA109" i="4" s="1"/>
  <c r="BA88" i="4"/>
  <c r="AZ115" i="4"/>
  <c r="AZ235" i="4" s="1"/>
  <c r="BA198" i="4"/>
  <c r="AZ127" i="4"/>
  <c r="AZ128" i="4" s="1"/>
  <c r="BA157" i="4" l="1"/>
  <c r="BA158" i="4"/>
  <c r="BA161" i="4" s="1"/>
  <c r="BA90" i="4" s="1"/>
  <c r="BA174" i="4" s="1"/>
  <c r="AZ121" i="4"/>
  <c r="AZ123" i="4" s="1"/>
  <c r="AZ130" i="4" s="1"/>
  <c r="BA238" i="4"/>
  <c r="BA249" i="4"/>
  <c r="AZ239" i="4"/>
  <c r="AZ243" i="4"/>
  <c r="BA92" i="4" l="1"/>
  <c r="BB175" i="4"/>
  <c r="BB223" i="4" s="1"/>
  <c r="BA176" i="4"/>
  <c r="BA159" i="4"/>
  <c r="BB156" i="4" s="1"/>
  <c r="BB173" i="4" l="1"/>
  <c r="BA114" i="4"/>
  <c r="BB224" i="4"/>
  <c r="BA242" i="4"/>
  <c r="BA245" i="4"/>
  <c r="BA246" i="4"/>
  <c r="BA253" i="4"/>
  <c r="BA199" i="4"/>
  <c r="BA201" i="4" s="1"/>
  <c r="BB225" i="4" l="1"/>
  <c r="BB227" i="4" s="1"/>
  <c r="BB230" i="4" s="1"/>
  <c r="BB99" i="4" s="1"/>
  <c r="BB85" i="4"/>
  <c r="BA115" i="4"/>
  <c r="BA235" i="4" s="1"/>
  <c r="BB198" i="4"/>
  <c r="BA127" i="4"/>
  <c r="BA128" i="4" s="1"/>
  <c r="BA121" i="4" l="1"/>
  <c r="BA123" i="4" s="1"/>
  <c r="BA130" i="4" s="1"/>
  <c r="BC229" i="4"/>
  <c r="BB101" i="4"/>
  <c r="BB109" i="4" s="1"/>
  <c r="BB88" i="4"/>
  <c r="BA243" i="4"/>
  <c r="BA239" i="4"/>
  <c r="BB238" i="4" l="1"/>
  <c r="BB249" i="4"/>
  <c r="BB157" i="4"/>
  <c r="BB158" i="4"/>
  <c r="BB161" i="4" s="1"/>
  <c r="BB90" i="4" s="1"/>
  <c r="BB174" i="4" s="1"/>
  <c r="BC175" i="4" l="1"/>
  <c r="BC223" i="4" s="1"/>
  <c r="BC224" i="4" s="1"/>
  <c r="BB176" i="4"/>
  <c r="BB92" i="4"/>
  <c r="BB159" i="4"/>
  <c r="BC156" i="4" s="1"/>
  <c r="BC225" i="4" l="1"/>
  <c r="BC227" i="4" s="1"/>
  <c r="BC230" i="4" s="1"/>
  <c r="BD229" i="4" s="1"/>
  <c r="L57" i="9" s="1"/>
  <c r="BC85" i="4"/>
  <c r="BC173" i="4"/>
  <c r="BB114" i="4"/>
  <c r="BB246" i="4"/>
  <c r="BB199" i="4"/>
  <c r="BB201" i="4" s="1"/>
  <c r="BB242" i="4"/>
  <c r="BB245" i="4"/>
  <c r="BB253" i="4"/>
  <c r="BC99" i="4" l="1"/>
  <c r="BC101" i="4" s="1"/>
  <c r="BC109" i="4" s="1"/>
  <c r="BB127" i="4"/>
  <c r="BB128" i="4" s="1"/>
  <c r="BC198" i="4"/>
  <c r="BC88" i="4"/>
  <c r="BB115" i="4"/>
  <c r="BB235" i="4" s="1"/>
  <c r="BB121" i="4" l="1"/>
  <c r="BB123" i="4" s="1"/>
  <c r="BB130" i="4" s="1"/>
  <c r="BC157" i="4"/>
  <c r="BC158" i="4"/>
  <c r="BC161" i="4" s="1"/>
  <c r="BC90" i="4" s="1"/>
  <c r="BC174" i="4" s="1"/>
  <c r="BC238" i="4"/>
  <c r="BC249" i="4"/>
  <c r="BB239" i="4"/>
  <c r="BB243" i="4"/>
  <c r="BD175" i="4" l="1"/>
  <c r="BD223" i="4" s="1"/>
  <c r="BD224" i="4" s="1"/>
  <c r="BC176" i="4"/>
  <c r="BC92" i="4"/>
  <c r="BC159" i="4"/>
  <c r="BD156" i="4" s="1"/>
  <c r="BD225" i="4" l="1"/>
  <c r="BD227" i="4" s="1"/>
  <c r="BD230" i="4" s="1"/>
  <c r="BD99" i="4" s="1"/>
  <c r="BD85" i="4"/>
  <c r="BC245" i="4"/>
  <c r="BC199" i="4"/>
  <c r="BC201" i="4" s="1"/>
  <c r="BC253" i="4"/>
  <c r="BC242" i="4"/>
  <c r="BC246" i="4"/>
  <c r="BD173" i="4"/>
  <c r="BC114" i="4"/>
  <c r="L58" i="9" l="1"/>
  <c r="BE229" i="4"/>
  <c r="BC127" i="4"/>
  <c r="BC128" i="4" s="1"/>
  <c r="BD198" i="4"/>
  <c r="BD101" i="4"/>
  <c r="BD109" i="4" s="1"/>
  <c r="BD88" i="4"/>
  <c r="BC115" i="4"/>
  <c r="BC235" i="4" s="1"/>
  <c r="BC121" i="4" l="1"/>
  <c r="BC123" i="4" s="1"/>
  <c r="BC130" i="4" s="1"/>
  <c r="BD238" i="4"/>
  <c r="BD249" i="4"/>
  <c r="L32" i="9"/>
  <c r="L34" i="9" s="1"/>
  <c r="BC239" i="4"/>
  <c r="BC243" i="4"/>
  <c r="BD157" i="4"/>
  <c r="BD158" i="4"/>
  <c r="BD161" i="4" s="1"/>
  <c r="BD90" i="4" s="1"/>
  <c r="BD174" i="4" s="1"/>
  <c r="BD92" i="4" l="1"/>
  <c r="BE175" i="4"/>
  <c r="BE223" i="4" s="1"/>
  <c r="BD176" i="4"/>
  <c r="BD159" i="4"/>
  <c r="BE156" i="4" s="1"/>
  <c r="BE224" i="4" l="1"/>
  <c r="BE173" i="4"/>
  <c r="BD114" i="4"/>
  <c r="BD242" i="4"/>
  <c r="BD199" i="4"/>
  <c r="BD201" i="4" s="1"/>
  <c r="BD253" i="4"/>
  <c r="BD245" i="4"/>
  <c r="BD246" i="4"/>
  <c r="BE225" i="4" l="1"/>
  <c r="BE227" i="4" s="1"/>
  <c r="BE230" i="4" s="1"/>
  <c r="BE85" i="4"/>
  <c r="BD115" i="4"/>
  <c r="BD121" i="4" s="1"/>
  <c r="BD123" i="4" s="1"/>
  <c r="BE198" i="4"/>
  <c r="BD127" i="4"/>
  <c r="BE99" i="4" l="1"/>
  <c r="BF229" i="4"/>
  <c r="BD128" i="4"/>
  <c r="BD130" i="4" s="1"/>
  <c r="L45" i="9"/>
  <c r="L46" i="9" s="1"/>
  <c r="L37" i="9"/>
  <c r="L39" i="9" s="1"/>
  <c r="L41" i="9" s="1"/>
  <c r="BD235" i="4"/>
  <c r="L48" i="9" l="1"/>
  <c r="BD239" i="4"/>
  <c r="BD243" i="4"/>
  <c r="BE101" i="4"/>
  <c r="BE109" i="4" s="1"/>
  <c r="BE238" i="4" l="1"/>
  <c r="BE249" i="4"/>
  <c r="BE88" i="4"/>
  <c r="BE157" i="4" l="1"/>
  <c r="BE158" i="4"/>
  <c r="BE161" i="4" s="1"/>
  <c r="BE90" i="4" s="1"/>
  <c r="BE159" i="4" l="1"/>
  <c r="BF156" i="4" s="1"/>
  <c r="BE174" i="4"/>
  <c r="BE92" i="4"/>
  <c r="BE242" i="4" l="1"/>
  <c r="BE245" i="4"/>
  <c r="BE253" i="4"/>
  <c r="BE199" i="4"/>
  <c r="BE201" i="4" s="1"/>
  <c r="BE246" i="4"/>
  <c r="BF175" i="4"/>
  <c r="BF223" i="4" s="1"/>
  <c r="BE176" i="4"/>
  <c r="BE127" i="4" l="1"/>
  <c r="BE128" i="4" s="1"/>
  <c r="BF198" i="4"/>
  <c r="BF224" i="4"/>
  <c r="BF173" i="4"/>
  <c r="BE114" i="4"/>
  <c r="BF225" i="4" l="1"/>
  <c r="BF227" i="4" s="1"/>
  <c r="BF230" i="4" s="1"/>
  <c r="BF85" i="4"/>
  <c r="BE239" i="4"/>
  <c r="BE243" i="4"/>
  <c r="BE115" i="4"/>
  <c r="BE235" i="4" s="1"/>
  <c r="BE121" i="4" l="1"/>
  <c r="BE123" i="4" s="1"/>
  <c r="BE130" i="4" s="1"/>
  <c r="BF99" i="4"/>
  <c r="BG229" i="4"/>
  <c r="BF101" i="4" l="1"/>
  <c r="BF109" i="4" s="1"/>
  <c r="BF88" i="4" l="1"/>
  <c r="BF238" i="4"/>
  <c r="BF249" i="4"/>
  <c r="BF157" i="4" l="1"/>
  <c r="BF158" i="4"/>
  <c r="BF161" i="4" s="1"/>
  <c r="BF90" i="4" s="1"/>
  <c r="BF92" i="4" s="1"/>
  <c r="BF246" i="4" l="1"/>
  <c r="BF253" i="4"/>
  <c r="BF199" i="4"/>
  <c r="BF201" i="4" s="1"/>
  <c r="BF242" i="4"/>
  <c r="BF245" i="4"/>
  <c r="BF174" i="4"/>
  <c r="BF159" i="4"/>
  <c r="BG156" i="4" s="1"/>
  <c r="BF127" i="4" l="1"/>
  <c r="BF128" i="4" s="1"/>
  <c r="BG198" i="4"/>
  <c r="BG175" i="4"/>
  <c r="BG223" i="4" s="1"/>
  <c r="BF176" i="4"/>
  <c r="BG173" i="4" l="1"/>
  <c r="BF114" i="4"/>
  <c r="BG224" i="4"/>
  <c r="BF243" i="4"/>
  <c r="BF239" i="4"/>
  <c r="BG225" i="4" l="1"/>
  <c r="BG227" i="4" s="1"/>
  <c r="BG230" i="4" s="1"/>
  <c r="BG85" i="4"/>
  <c r="BF115" i="4"/>
  <c r="BF235" i="4" s="1"/>
  <c r="BF121" i="4" l="1"/>
  <c r="BF123" i="4" s="1"/>
  <c r="BF130" i="4" s="1"/>
  <c r="BG99" i="4"/>
  <c r="BH229" i="4"/>
  <c r="BG101" i="4" l="1"/>
  <c r="BG109" i="4" s="1"/>
  <c r="BG238" i="4" l="1"/>
  <c r="BG249" i="4"/>
  <c r="BG88" i="4"/>
  <c r="BG157" i="4" l="1"/>
  <c r="BG158" i="4"/>
  <c r="BG161" i="4" s="1"/>
  <c r="BG90" i="4" s="1"/>
  <c r="BG174" i="4" l="1"/>
  <c r="BG92" i="4"/>
  <c r="BG159" i="4"/>
  <c r="BH156" i="4" s="1"/>
  <c r="BH175" i="4" l="1"/>
  <c r="BH223" i="4" s="1"/>
  <c r="BH224" i="4" s="1"/>
  <c r="BG176" i="4"/>
  <c r="BG199" i="4"/>
  <c r="BG201" i="4" s="1"/>
  <c r="BG242" i="4"/>
  <c r="BG253" i="4"/>
  <c r="BG245" i="4"/>
  <c r="BG246" i="4"/>
  <c r="BH225" i="4" l="1"/>
  <c r="BH227" i="4" s="1"/>
  <c r="BH230" i="4" s="1"/>
  <c r="BH99" i="4" s="1"/>
  <c r="BH85" i="4"/>
  <c r="BH173" i="4"/>
  <c r="BG114" i="4"/>
  <c r="BG127" i="4"/>
  <c r="BG128" i="4" s="1"/>
  <c r="BH198" i="4"/>
  <c r="BI229" i="4" l="1"/>
  <c r="BH101" i="4"/>
  <c r="BH109" i="4" s="1"/>
  <c r="BG239" i="4"/>
  <c r="BG243" i="4"/>
  <c r="BG115" i="4"/>
  <c r="BG235" i="4" s="1"/>
  <c r="BG121" i="4" l="1"/>
  <c r="BG123" i="4" s="1"/>
  <c r="BG130" i="4" s="1"/>
  <c r="BH88" i="4"/>
  <c r="BH238" i="4"/>
  <c r="BH249" i="4"/>
  <c r="BH157" i="4" l="1"/>
  <c r="BH158" i="4"/>
  <c r="BH161" i="4" s="1"/>
  <c r="BH90" i="4" s="1"/>
  <c r="BH174" i="4" l="1"/>
  <c r="BH92" i="4"/>
  <c r="BH159" i="4"/>
  <c r="BI156" i="4" s="1"/>
  <c r="BI175" i="4" l="1"/>
  <c r="BI223" i="4" s="1"/>
  <c r="BI224" i="4" s="1"/>
  <c r="BH176" i="4"/>
  <c r="BH246" i="4"/>
  <c r="BH245" i="4"/>
  <c r="BH253" i="4"/>
  <c r="BH242" i="4"/>
  <c r="BH199" i="4"/>
  <c r="BH201" i="4" s="1"/>
  <c r="BI225" i="4" l="1"/>
  <c r="BI227" i="4" s="1"/>
  <c r="BI230" i="4" s="1"/>
  <c r="BI99" i="4" s="1"/>
  <c r="BI85" i="4"/>
  <c r="BI173" i="4"/>
  <c r="BH114" i="4"/>
  <c r="BI198" i="4"/>
  <c r="BH127" i="4"/>
  <c r="BH128" i="4" s="1"/>
  <c r="BJ229" i="4" l="1"/>
  <c r="BI101" i="4"/>
  <c r="BI109" i="4" s="1"/>
  <c r="BH243" i="4"/>
  <c r="BH239" i="4"/>
  <c r="BH115" i="4"/>
  <c r="BH235" i="4" s="1"/>
  <c r="BH121" i="4" l="1"/>
  <c r="BH123" i="4" s="1"/>
  <c r="BH130" i="4" s="1"/>
  <c r="BI88" i="4"/>
  <c r="BI238" i="4"/>
  <c r="BI249" i="4"/>
  <c r="BI157" i="4" l="1"/>
  <c r="BI158" i="4"/>
  <c r="BI161" i="4" s="1"/>
  <c r="BI90" i="4" s="1"/>
  <c r="BI92" i="4" s="1"/>
  <c r="BI199" i="4" l="1"/>
  <c r="BI201" i="4" s="1"/>
  <c r="BI245" i="4"/>
  <c r="BI246" i="4"/>
  <c r="BI253" i="4"/>
  <c r="BI242" i="4"/>
  <c r="BI159" i="4"/>
  <c r="BJ156" i="4" s="1"/>
  <c r="BI174" i="4"/>
  <c r="BJ175" i="4" l="1"/>
  <c r="BJ223" i="4" s="1"/>
  <c r="BI176" i="4"/>
  <c r="BJ198" i="4"/>
  <c r="BI127" i="4"/>
  <c r="BI128" i="4" s="1"/>
  <c r="BI239" i="4" l="1"/>
  <c r="BI243" i="4"/>
  <c r="BJ173" i="4"/>
  <c r="BI114" i="4"/>
  <c r="BJ224" i="4"/>
  <c r="BJ225" i="4" l="1"/>
  <c r="BJ227" i="4" s="1"/>
  <c r="BJ230" i="4" s="1"/>
  <c r="BJ99" i="4" s="1"/>
  <c r="BJ85" i="4"/>
  <c r="BI115" i="4"/>
  <c r="BI235" i="4" s="1"/>
  <c r="BI121" i="4" l="1"/>
  <c r="BI123" i="4" s="1"/>
  <c r="BI130" i="4" s="1"/>
  <c r="BK229" i="4"/>
  <c r="BJ101" i="4"/>
  <c r="BJ109" i="4" s="1"/>
  <c r="BJ88" i="4"/>
  <c r="BJ238" i="4" l="1"/>
  <c r="BJ249" i="4"/>
  <c r="BJ157" i="4"/>
  <c r="BJ158" i="4"/>
  <c r="BJ161" i="4" s="1"/>
  <c r="BJ90" i="4" s="1"/>
  <c r="BJ174" i="4" s="1"/>
  <c r="BK175" i="4" l="1"/>
  <c r="BK223" i="4" s="1"/>
  <c r="BK224" i="4" s="1"/>
  <c r="BJ176" i="4"/>
  <c r="BJ92" i="4"/>
  <c r="BJ159" i="4"/>
  <c r="BK156" i="4" s="1"/>
  <c r="BK225" i="4" l="1"/>
  <c r="BK227" i="4" s="1"/>
  <c r="BK230" i="4" s="1"/>
  <c r="BL229" i="4" s="1"/>
  <c r="BK85" i="4"/>
  <c r="BK173" i="4"/>
  <c r="BJ114" i="4"/>
  <c r="BJ253" i="4"/>
  <c r="BJ246" i="4"/>
  <c r="BJ242" i="4"/>
  <c r="BJ245" i="4"/>
  <c r="BJ199" i="4"/>
  <c r="BJ201" i="4" s="1"/>
  <c r="BK99" i="4" l="1"/>
  <c r="BK101" i="4" s="1"/>
  <c r="BK109" i="4" s="1"/>
  <c r="BK88" i="4"/>
  <c r="BJ115" i="4"/>
  <c r="BJ235" i="4" s="1"/>
  <c r="BJ127" i="4"/>
  <c r="BJ128" i="4" s="1"/>
  <c r="BK198" i="4"/>
  <c r="BJ121" i="4" l="1"/>
  <c r="BJ123" i="4" s="1"/>
  <c r="BJ130" i="4" s="1"/>
  <c r="BK157" i="4"/>
  <c r="BK158" i="4"/>
  <c r="BK161" i="4" s="1"/>
  <c r="BK90" i="4" s="1"/>
  <c r="BK174" i="4" s="1"/>
  <c r="BJ239" i="4"/>
  <c r="BJ243" i="4"/>
  <c r="BK238" i="4"/>
  <c r="BK249" i="4"/>
  <c r="BK92" i="4" l="1"/>
  <c r="BL175" i="4"/>
  <c r="BL223" i="4" s="1"/>
  <c r="BK176" i="4"/>
  <c r="BK159" i="4"/>
  <c r="BL156" i="4" s="1"/>
  <c r="BL173" i="4" l="1"/>
  <c r="BK114" i="4"/>
  <c r="BL224" i="4"/>
  <c r="BK199" i="4"/>
  <c r="BK201" i="4" s="1"/>
  <c r="BK246" i="4"/>
  <c r="BK253" i="4"/>
  <c r="BK245" i="4"/>
  <c r="BK242" i="4"/>
  <c r="BL225" i="4" l="1"/>
  <c r="BL227" i="4" s="1"/>
  <c r="BL230" i="4" s="1"/>
  <c r="BL99" i="4" s="1"/>
  <c r="BL85" i="4"/>
  <c r="BK127" i="4"/>
  <c r="BK128" i="4" s="1"/>
  <c r="BL198" i="4"/>
  <c r="BK115" i="4"/>
  <c r="BK235" i="4" s="1"/>
  <c r="BM229" i="4" l="1"/>
  <c r="BK239" i="4"/>
  <c r="BK243" i="4"/>
  <c r="BK121" i="4"/>
  <c r="BK123" i="4" s="1"/>
  <c r="BK130" i="4" s="1"/>
  <c r="BL101" i="4"/>
  <c r="BL109" i="4" s="1"/>
  <c r="BL88" i="4"/>
  <c r="BL238" i="4" l="1"/>
  <c r="BL249" i="4"/>
  <c r="BL157" i="4"/>
  <c r="BL158" i="4"/>
  <c r="BL161" i="4" s="1"/>
  <c r="BL90" i="4" s="1"/>
  <c r="BL174" i="4" s="1"/>
  <c r="BM175" i="4" l="1"/>
  <c r="BM223" i="4" s="1"/>
  <c r="BM224" i="4" s="1"/>
  <c r="BL176" i="4"/>
  <c r="BL92" i="4"/>
  <c r="BL159" i="4"/>
  <c r="BM156" i="4" s="1"/>
  <c r="BM225" i="4" l="1"/>
  <c r="BM227" i="4" s="1"/>
  <c r="BM230" i="4" s="1"/>
  <c r="BN229" i="4" s="1"/>
  <c r="BM85" i="4"/>
  <c r="BM173" i="4"/>
  <c r="BL114" i="4"/>
  <c r="BL246" i="4"/>
  <c r="BL245" i="4"/>
  <c r="BL253" i="4"/>
  <c r="BL242" i="4"/>
  <c r="BL199" i="4"/>
  <c r="BL201" i="4" s="1"/>
  <c r="BM99" i="4" l="1"/>
  <c r="BM88" i="4"/>
  <c r="BL115" i="4"/>
  <c r="BL235" i="4" s="1"/>
  <c r="BM198" i="4"/>
  <c r="BL127" i="4"/>
  <c r="BL128" i="4" s="1"/>
  <c r="BM101" i="4" l="1"/>
  <c r="BM109" i="4" s="1"/>
  <c r="BM238" i="4" s="1"/>
  <c r="BM157" i="4"/>
  <c r="BM158" i="4"/>
  <c r="BM161" i="4" s="1"/>
  <c r="BM90" i="4" s="1"/>
  <c r="BM174" i="4" s="1"/>
  <c r="BL243" i="4"/>
  <c r="BL239" i="4"/>
  <c r="BL121" i="4"/>
  <c r="BL123" i="4" s="1"/>
  <c r="BL130" i="4" s="1"/>
  <c r="BM249" i="4" l="1"/>
  <c r="BN175" i="4"/>
  <c r="BN223" i="4" s="1"/>
  <c r="BN224" i="4" s="1"/>
  <c r="BM176" i="4"/>
  <c r="BM92" i="4"/>
  <c r="BM159" i="4"/>
  <c r="BN156" i="4" s="1"/>
  <c r="BN225" i="4" l="1"/>
  <c r="BN227" i="4" s="1"/>
  <c r="BN230" i="4" s="1"/>
  <c r="BO229" i="4" s="1"/>
  <c r="BN85" i="4"/>
  <c r="BM246" i="4"/>
  <c r="BM199" i="4"/>
  <c r="BM201" i="4" s="1"/>
  <c r="BM242" i="4"/>
  <c r="BM253" i="4"/>
  <c r="BM245" i="4"/>
  <c r="BN173" i="4"/>
  <c r="BM114" i="4"/>
  <c r="BN99" i="4" l="1"/>
  <c r="BN101" i="4" s="1"/>
  <c r="BN109" i="4" s="1"/>
  <c r="BN198" i="4"/>
  <c r="BM127" i="4"/>
  <c r="BM128" i="4" s="1"/>
  <c r="BN88" i="4"/>
  <c r="BM115" i="4"/>
  <c r="BM235" i="4" s="1"/>
  <c r="BN238" i="4" l="1"/>
  <c r="BN249" i="4"/>
  <c r="BM121" i="4"/>
  <c r="BM123" i="4" s="1"/>
  <c r="BM130" i="4" s="1"/>
  <c r="BM239" i="4"/>
  <c r="BM243" i="4"/>
  <c r="BN157" i="4"/>
  <c r="BN158" i="4"/>
  <c r="BN161" i="4" s="1"/>
  <c r="BN90" i="4" s="1"/>
  <c r="BN174" i="4" s="1"/>
  <c r="BN159" i="4" l="1"/>
  <c r="BO156" i="4" s="1"/>
  <c r="BO175" i="4"/>
  <c r="BO223" i="4" s="1"/>
  <c r="BO224" i="4" s="1"/>
  <c r="BN176" i="4"/>
  <c r="BN92" i="4"/>
  <c r="BO225" i="4" l="1"/>
  <c r="BO227" i="4" s="1"/>
  <c r="BO230" i="4" s="1"/>
  <c r="BO99" i="4" s="1"/>
  <c r="BO85" i="4"/>
  <c r="BN246" i="4"/>
  <c r="BN253" i="4"/>
  <c r="BN242" i="4"/>
  <c r="BN245" i="4"/>
  <c r="BN199" i="4"/>
  <c r="BN201" i="4" s="1"/>
  <c r="BO173" i="4"/>
  <c r="BN114" i="4"/>
  <c r="BP229" i="4" l="1"/>
  <c r="M57" i="9" s="1"/>
  <c r="BN127" i="4"/>
  <c r="BN128" i="4" s="1"/>
  <c r="BO198" i="4"/>
  <c r="BN115" i="4"/>
  <c r="BN235" i="4" s="1"/>
  <c r="BO101" i="4"/>
  <c r="BO109" i="4" s="1"/>
  <c r="BO88" i="4"/>
  <c r="BO238" i="4" l="1"/>
  <c r="BO249" i="4"/>
  <c r="BN121" i="4"/>
  <c r="BN123" i="4" s="1"/>
  <c r="BN130" i="4" s="1"/>
  <c r="BO157" i="4"/>
  <c r="BO158" i="4"/>
  <c r="BO161" i="4" s="1"/>
  <c r="BO90" i="4" s="1"/>
  <c r="BO174" i="4" s="1"/>
  <c r="BN239" i="4"/>
  <c r="BN243" i="4"/>
  <c r="BO159" i="4" l="1"/>
  <c r="BP156" i="4" s="1"/>
  <c r="BO92" i="4"/>
  <c r="BP175" i="4"/>
  <c r="BP223" i="4" s="1"/>
  <c r="BO176" i="4"/>
  <c r="BP224" i="4" l="1"/>
  <c r="BP173" i="4"/>
  <c r="BO114" i="4"/>
  <c r="BO246" i="4"/>
  <c r="BO242" i="4"/>
  <c r="BO245" i="4"/>
  <c r="BO253" i="4"/>
  <c r="BO199" i="4"/>
  <c r="BO201" i="4" s="1"/>
  <c r="BP225" i="4" l="1"/>
  <c r="BP227" i="4" s="1"/>
  <c r="BP85" i="4"/>
  <c r="BO115" i="4"/>
  <c r="BO235" i="4" s="1"/>
  <c r="I54" i="9"/>
  <c r="J54" i="9"/>
  <c r="J55" i="9" s="1"/>
  <c r="K54" i="9"/>
  <c r="K55" i="9" s="1"/>
  <c r="L54" i="9"/>
  <c r="L55" i="9" s="1"/>
  <c r="BP198" i="4"/>
  <c r="BO127" i="4"/>
  <c r="BO128" i="4" s="1"/>
  <c r="M54" i="9" l="1"/>
  <c r="M55" i="9" s="1"/>
  <c r="I55" i="9"/>
  <c r="BP230" i="4"/>
  <c r="BP99" i="4" s="1"/>
  <c r="BP101" i="4" s="1"/>
  <c r="BP109" i="4" s="1"/>
  <c r="H227" i="4"/>
  <c r="Q14" i="9" s="1"/>
  <c r="BO121" i="4"/>
  <c r="BO123" i="4" s="1"/>
  <c r="BO130" i="4" s="1"/>
  <c r="BO239" i="4"/>
  <c r="BO243" i="4"/>
  <c r="C13" i="18" a="1"/>
  <c r="H54" i="9" l="1"/>
  <c r="H55" i="9"/>
  <c r="M58" i="9"/>
  <c r="BP238" i="4"/>
  <c r="BP249" i="4"/>
  <c r="BP88" i="4"/>
  <c r="I19" i="9"/>
  <c r="J19" i="9"/>
  <c r="K19" i="9"/>
  <c r="L19" i="9"/>
  <c r="M19" i="9"/>
  <c r="M32" i="9"/>
  <c r="M34" i="9" s="1"/>
  <c r="N60" i="9" l="1"/>
  <c r="H19" i="9"/>
  <c r="BP157" i="4"/>
  <c r="BP158" i="4"/>
  <c r="BP161" i="4" s="1"/>
  <c r="BP90" i="4" s="1"/>
  <c r="BP92" i="4" s="1"/>
  <c r="H92" i="4" s="1"/>
  <c r="Q13" i="9" s="1"/>
  <c r="I21" i="9"/>
  <c r="J21" i="9"/>
  <c r="K21" i="9"/>
  <c r="L21" i="9"/>
  <c r="M21" i="9"/>
  <c r="D7" i="10"/>
  <c r="H21" i="9" l="1"/>
  <c r="BP199" i="4"/>
  <c r="BP201" i="4" s="1"/>
  <c r="BP127" i="4" s="1"/>
  <c r="BP245" i="4"/>
  <c r="BP242" i="4"/>
  <c r="BP246" i="4"/>
  <c r="BP253" i="4"/>
  <c r="I23" i="9"/>
  <c r="J23" i="9"/>
  <c r="J28" i="9" s="1"/>
  <c r="K23" i="9"/>
  <c r="K28" i="9" s="1"/>
  <c r="L23" i="9"/>
  <c r="L28" i="9" s="1"/>
  <c r="M23" i="9"/>
  <c r="M28" i="9" s="1"/>
  <c r="BP174" i="4"/>
  <c r="BP176" i="4" s="1"/>
  <c r="BP114" i="4" s="1"/>
  <c r="I22" i="9"/>
  <c r="J22" i="9"/>
  <c r="K22" i="9"/>
  <c r="L22" i="9"/>
  <c r="M22" i="9"/>
  <c r="M25" i="9" s="1"/>
  <c r="BP159" i="4"/>
  <c r="I28" i="9"/>
  <c r="J25" i="9"/>
  <c r="BP115" i="4"/>
  <c r="BP121" i="4" s="1"/>
  <c r="BP123" i="4" s="1"/>
  <c r="L25" i="9"/>
  <c r="K25" i="9"/>
  <c r="BP128" i="4"/>
  <c r="M45" i="9"/>
  <c r="M46" i="9" s="1"/>
  <c r="C14" i="18" a="1"/>
  <c r="I25" i="9" l="1"/>
  <c r="H23" i="9"/>
  <c r="H22" i="9"/>
  <c r="BP239" i="4"/>
  <c r="BP243" i="4"/>
  <c r="BP130" i="4"/>
  <c r="H130" i="4" s="1"/>
  <c r="M37" i="9"/>
  <c r="M39" i="9" s="1"/>
  <c r="M41" i="9" s="1"/>
  <c r="M48" i="9" s="1"/>
  <c r="N48" i="9" s="1"/>
  <c r="BP235" i="4"/>
  <c r="D10" i="10"/>
  <c r="D8" i="10"/>
  <c r="H25" i="9" l="1"/>
  <c r="N25" i="9" s="1"/>
  <c r="D9" i="10"/>
  <c r="D4" i="10" l="1"/>
  <c r="A4" i="8" s="1"/>
  <c r="H13" i="3"/>
  <c r="A4" i="4" l="1"/>
  <c r="A4" i="3"/>
  <c r="A4" i="10"/>
  <c r="A4" i="11"/>
  <c r="B4" i="9"/>
  <c r="B1" i="17"/>
  <c r="B1" i="18"/>
  <c r="B1" i="14"/>
  <c r="B1" i="15"/>
  <c r="B1" i="12"/>
  <c r="B1" i="13"/>
  <c r="B1" i="3"/>
  <c r="B1" i="11"/>
  <c r="B1" i="4"/>
  <c r="B1" i="8"/>
  <c r="C1" i="9"/>
  <c r="B1" i="10"/>
  <c r="C14" i="18"/>
  <c r="C13" i="18"/>
  <c r="C12" i="18"/>
  <c r="C11" i="18"/>
  <c r="C10" i="18"/>
  <c r="C9" i="18"/>
  <c r="C8" i="18"/>
  <c r="C7" i="18"/>
  <c r="C6" i="18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Jeff Robson</author>
  </authors>
  <commentList>
    <comment ref="E99" authorId="0" shapeId="0" xr:uid="{00000000-0006-0000-0500-000001000000}">
      <text>
        <r>
          <rPr>
            <b/>
            <sz val="8"/>
            <color indexed="81"/>
            <rFont val="Tahoma"/>
            <family val="2"/>
          </rPr>
          <t>Cash:</t>
        </r>
        <r>
          <rPr>
            <sz val="8"/>
            <color indexed="81"/>
            <rFont val="Tahoma"/>
            <family val="2"/>
          </rPr>
          <t xml:space="preserve">
Calculated via macro to avoid circular reference</t>
        </r>
      </text>
    </comment>
  </commentList>
</comments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2">
    <metadataType name="XLDAPR" minSupportedVersion="120000" copy="1" pasteAll="1" pasteValues="1" merge="1" splitFirst="1" rowColShift="1" clearFormats="1" clearComments="1" assign="1" coerce="1" cellMeta="1"/>
    <metadataType name="XLRICHVALUE" minSupportedVersion="120000" copy="1" pasteAll="1" pasteValues="1" merge="1" splitFirst="1" rowColShift="1" clearFormats="1" clearComments="1" assign="1" coerce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futureMetadata name="XLRICHVALUE" count="1">
    <bk>
      <extLst>
        <ext uri="{3e2802c4-a4d2-4d8b-9148-e3be6c30e623}">
          <xlrd:rvb i="0"/>
        </ext>
      </extLst>
    </bk>
  </futureMetadata>
  <cellMetadata count="1">
    <bk>
      <rc t="1" v="0"/>
    </bk>
  </cellMetadata>
  <valueMetadata count="1">
    <bk>
      <rc t="2" v="0"/>
    </bk>
  </valueMetadata>
</metadata>
</file>

<file path=xl/sharedStrings.xml><?xml version="1.0" encoding="utf-8"?>
<sst xmlns="http://schemas.openxmlformats.org/spreadsheetml/2006/main" count="658" uniqueCount="398">
  <si>
    <t>Legal</t>
  </si>
  <si>
    <t>Exercise</t>
  </si>
  <si>
    <t>Error Checks</t>
  </si>
  <si>
    <t>Summary</t>
  </si>
  <si>
    <t>Calculations</t>
  </si>
  <si>
    <t>Assumptions</t>
  </si>
  <si>
    <t>Tables</t>
  </si>
  <si>
    <t>Format Conventions</t>
  </si>
  <si>
    <t>Structure</t>
  </si>
  <si>
    <t>Guidance</t>
  </si>
  <si>
    <t>ToDo</t>
  </si>
  <si>
    <t>Change Log</t>
  </si>
  <si>
    <t>ToC</t>
  </si>
  <si>
    <t>Overall error check</t>
  </si>
  <si>
    <t>Error Check</t>
  </si>
  <si>
    <t>RangeName</t>
  </si>
  <si>
    <t>Result</t>
  </si>
  <si>
    <t>Link</t>
  </si>
  <si>
    <t>Notes</t>
  </si>
  <si>
    <t>Summary cash Flow balances</t>
  </si>
  <si>
    <t>ErrChkCummaryCashFlow</t>
  </si>
  <si>
    <t>Summary balance sheets balance</t>
  </si>
  <si>
    <t>ErrChkSummaryBalanceSheet</t>
  </si>
  <si>
    <t>Summary income statements balance</t>
  </si>
  <si>
    <t>ErrChkSummaryIncomeStmt</t>
  </si>
  <si>
    <t>Calculations balance sheets balance</t>
  </si>
  <si>
    <t>ErrChkCalcBalanceSheet</t>
  </si>
  <si>
    <t>Annual Summary</t>
  </si>
  <si>
    <t>Total</t>
  </si>
  <si>
    <t>Key Information</t>
  </si>
  <si>
    <t>Year Number</t>
  </si>
  <si>
    <t>Inputs</t>
  </si>
  <si>
    <t>Year end</t>
  </si>
  <si>
    <t>Business Case:</t>
  </si>
  <si>
    <t>Staff Scenario:</t>
  </si>
  <si>
    <t>Income Statement</t>
  </si>
  <si>
    <t>Contingency:</t>
  </si>
  <si>
    <t>Outputs</t>
  </si>
  <si>
    <t>Total Revenue</t>
  </si>
  <si>
    <t>Gross Profit %</t>
  </si>
  <si>
    <t>Total NPAT</t>
  </si>
  <si>
    <t>Total Cash Flow</t>
  </si>
  <si>
    <t>Forecast period (yrs)</t>
  </si>
  <si>
    <t>Investment Analysis</t>
  </si>
  <si>
    <t>WACC</t>
  </si>
  <si>
    <t>NPV</t>
  </si>
  <si>
    <t>IRR</t>
  </si>
  <si>
    <t>Payback period (mths)</t>
  </si>
  <si>
    <t>Funding Requirement</t>
  </si>
  <si>
    <t>check income statements balance</t>
  </si>
  <si>
    <t>Closing customers</t>
  </si>
  <si>
    <t>Net profit per customer</t>
  </si>
  <si>
    <t>Balance Sheet</t>
  </si>
  <si>
    <t>Assets</t>
  </si>
  <si>
    <t>Total Assets</t>
  </si>
  <si>
    <t>Liabilities</t>
  </si>
  <si>
    <t>Total Liabilities</t>
  </si>
  <si>
    <t>Net Assets</t>
  </si>
  <si>
    <t>Shareholders' Equity</t>
  </si>
  <si>
    <t>Total Shareholders' Equity</t>
  </si>
  <si>
    <t>check balance sheets balance</t>
  </si>
  <si>
    <t>Cash Flow Statement</t>
  </si>
  <si>
    <t>Net Cash Flow</t>
  </si>
  <si>
    <t>check net cash flow equals closing cash</t>
  </si>
  <si>
    <t>Dates</t>
  </si>
  <si>
    <t>Workings</t>
  </si>
  <si>
    <t>Month Number</t>
  </si>
  <si>
    <t>Customer Growth Rate per month</t>
  </si>
  <si>
    <t>CustomerNum</t>
  </si>
  <si>
    <t>Attrition Rate</t>
  </si>
  <si>
    <t>AttritionRate</t>
  </si>
  <si>
    <t>Customer Numbers</t>
  </si>
  <si>
    <t>Opening Customers</t>
  </si>
  <si>
    <t>New Customers</t>
  </si>
  <si>
    <t>Attrition</t>
  </si>
  <si>
    <t>Closing Customers</t>
  </si>
  <si>
    <t>Monthly fee</t>
  </si>
  <si>
    <t>Price</t>
  </si>
  <si>
    <t>Direct Costs</t>
  </si>
  <si>
    <t>Staff</t>
  </si>
  <si>
    <t>Staff Numbers</t>
  </si>
  <si>
    <t>Annual Salary</t>
  </si>
  <si>
    <t>CTO</t>
  </si>
  <si>
    <t>Senior Programmer</t>
  </si>
  <si>
    <t>Programmer</t>
  </si>
  <si>
    <t>Graphic Designer</t>
  </si>
  <si>
    <t>Business Development Manager</t>
  </si>
  <si>
    <t>Salesperson</t>
  </si>
  <si>
    <t>Total Direct Staff Costs</t>
  </si>
  <si>
    <t>Other Direct Costs</t>
  </si>
  <si>
    <t>Sales &amp; Marketing</t>
  </si>
  <si>
    <t>Marketing (% of Sales)</t>
  </si>
  <si>
    <t>Marketing</t>
  </si>
  <si>
    <t>Marketing costs</t>
  </si>
  <si>
    <t>Total Sales &amp; Marketing costs</t>
  </si>
  <si>
    <t>Total Other Direct Costs</t>
  </si>
  <si>
    <t>Total Direct Costs</t>
  </si>
  <si>
    <t>Gross Profit</t>
  </si>
  <si>
    <t>Indirect Costs</t>
  </si>
  <si>
    <t>Indirect Staff Costs</t>
  </si>
  <si>
    <t>CEO</t>
  </si>
  <si>
    <t>Marketing Manager</t>
  </si>
  <si>
    <t>Marketing Assistant</t>
  </si>
  <si>
    <t>Office Manager</t>
  </si>
  <si>
    <t>Total Indirect Staff Costs</t>
  </si>
  <si>
    <t>Rent</t>
  </si>
  <si>
    <t>Rent per person per month</t>
  </si>
  <si>
    <t>Total number of staff</t>
  </si>
  <si>
    <t>Total Rent</t>
  </si>
  <si>
    <t>Other Indirect Costs</t>
  </si>
  <si>
    <t>Legal fees</t>
  </si>
  <si>
    <t>Accounting &amp; bookkeeping</t>
  </si>
  <si>
    <t>IT Support</t>
  </si>
  <si>
    <t>Bank fees</t>
  </si>
  <si>
    <t>Server hosting &amp; data</t>
  </si>
  <si>
    <t>Office costs</t>
  </si>
  <si>
    <t>Telecommunications</t>
  </si>
  <si>
    <t>Other (contingency)</t>
  </si>
  <si>
    <t>Total Other Indirect Costs</t>
  </si>
  <si>
    <t>Total Indirect Costs</t>
  </si>
  <si>
    <t>EBITDA</t>
  </si>
  <si>
    <t>Depreciation Expense</t>
  </si>
  <si>
    <t>EBIT</t>
  </si>
  <si>
    <t>Interest Income</t>
  </si>
  <si>
    <t>Interest Expense</t>
  </si>
  <si>
    <t>EBT</t>
  </si>
  <si>
    <t>Tax expense</t>
  </si>
  <si>
    <t>NPAT</t>
  </si>
  <si>
    <t>Current Assets</t>
  </si>
  <si>
    <t>Cash</t>
  </si>
  <si>
    <t>Debtors</t>
  </si>
  <si>
    <t>Total Current Assets</t>
  </si>
  <si>
    <t>Non-Current Assets</t>
  </si>
  <si>
    <t>Plant &amp; Equipment</t>
  </si>
  <si>
    <t>Accumulated Depreciation</t>
  </si>
  <si>
    <t>Written Down Value</t>
  </si>
  <si>
    <t>Total Non-Current Assets</t>
  </si>
  <si>
    <t>Current Liabilities</t>
  </si>
  <si>
    <t>Creditors</t>
  </si>
  <si>
    <t>Provision for Income Tax</t>
  </si>
  <si>
    <t>Total Current Liabilities</t>
  </si>
  <si>
    <t>Non-Current Liabilities</t>
  </si>
  <si>
    <t>Bank Loan</t>
  </si>
  <si>
    <t>Total Non-Current Liabilities</t>
  </si>
  <si>
    <t>Equity</t>
  </si>
  <si>
    <t>Accumulated profits/(losses)</t>
  </si>
  <si>
    <t>Total Equity</t>
  </si>
  <si>
    <t>Check</t>
  </si>
  <si>
    <t>Balance Sheet Workings</t>
  </si>
  <si>
    <t>Opening Balance</t>
  </si>
  <si>
    <t>Month</t>
  </si>
  <si>
    <t>Credit Sales</t>
  </si>
  <si>
    <t>Payments Received</t>
  </si>
  <si>
    <t>Closing Balance</t>
  </si>
  <si>
    <t>Plant &amp; Equipment at Cost</t>
  </si>
  <si>
    <t>Purchases</t>
  </si>
  <si>
    <t>Disposals</t>
  </si>
  <si>
    <t>Plant &amp; Equipment Accumulated Depreciation</t>
  </si>
  <si>
    <t>Carried Forward Tax Losses</t>
  </si>
  <si>
    <t>Additional Tax Losses</t>
  </si>
  <si>
    <t>Tax Losses Used</t>
  </si>
  <si>
    <t>Tax Expense</t>
  </si>
  <si>
    <t>Credit Purchases</t>
  </si>
  <si>
    <t>Payments Made</t>
  </si>
  <si>
    <t>Tax Paid</t>
  </si>
  <si>
    <t>Closing balance</t>
  </si>
  <si>
    <t>Loan funds received</t>
  </si>
  <si>
    <t>Loan repayments</t>
  </si>
  <si>
    <t>Interest</t>
  </si>
  <si>
    <t>Principal</t>
  </si>
  <si>
    <t>Loan Security</t>
  </si>
  <si>
    <t>Founder's property</t>
  </si>
  <si>
    <t>Business Fixed Assets</t>
  </si>
  <si>
    <t>Total Loan Security</t>
  </si>
  <si>
    <t>Capital Raised</t>
  </si>
  <si>
    <t>Capital Returned</t>
  </si>
  <si>
    <t>Accumulated Profits/(Losses)</t>
  </si>
  <si>
    <t>Current Period Profit/(Loss)</t>
  </si>
  <si>
    <t>Dividends Paid</t>
  </si>
  <si>
    <t>Cash Flow</t>
  </si>
  <si>
    <t>Operating Cash Flows</t>
  </si>
  <si>
    <t>Working Capital Movement</t>
  </si>
  <si>
    <t>Total Operating Cash Flows</t>
  </si>
  <si>
    <t>Investing Cash Flows</t>
  </si>
  <si>
    <t>Purchase of Plant &amp; Eqiupment</t>
  </si>
  <si>
    <t>Proceeds from Disposal of Plant &amp; Equipment</t>
  </si>
  <si>
    <t>Total Investing Cash Flows</t>
  </si>
  <si>
    <t>Financing Cash Flows</t>
  </si>
  <si>
    <t>Interest Paid</t>
  </si>
  <si>
    <t>Shareholders funds received</t>
  </si>
  <si>
    <t>Return of capital</t>
  </si>
  <si>
    <t>Loan proceeds</t>
  </si>
  <si>
    <t>Loan principal repaid</t>
  </si>
  <si>
    <t>Tax paid</t>
  </si>
  <si>
    <t>Interest Received</t>
  </si>
  <si>
    <t>Total Financing Cash Flows</t>
  </si>
  <si>
    <t>Opening Cash</t>
  </si>
  <si>
    <t>Closing Cash</t>
  </si>
  <si>
    <t>KPIs &amp; Key Ratios</t>
  </si>
  <si>
    <t>Liquidity Ratios</t>
  </si>
  <si>
    <t>Current Ratio</t>
  </si>
  <si>
    <t>Asset Ratios</t>
  </si>
  <si>
    <t>Total Sales to Assets Ratio</t>
  </si>
  <si>
    <t>Assets to Equity Ratio</t>
  </si>
  <si>
    <t>Profitability</t>
  </si>
  <si>
    <t>Return on Assets Ratio</t>
  </si>
  <si>
    <t>Return on Equity Ratio</t>
  </si>
  <si>
    <t>Gross Profit Margin</t>
  </si>
  <si>
    <t>Net Profit Margin</t>
  </si>
  <si>
    <t>Earnings per Share</t>
  </si>
  <si>
    <t>Debt Ratios</t>
  </si>
  <si>
    <t>Debt to Assets Ratio</t>
  </si>
  <si>
    <t>Interest Coverage Ratio</t>
  </si>
  <si>
    <t>Debt to Equity Ratio</t>
  </si>
  <si>
    <t>Loan to Value Ratio (LVR)</t>
  </si>
  <si>
    <t>Debt Service Coverage Ratio</t>
  </si>
  <si>
    <t>Investment Analysis &amp; Valuation</t>
  </si>
  <si>
    <t>Free Cash Flows</t>
  </si>
  <si>
    <t>Total Free Cash Flows before tax</t>
  </si>
  <si>
    <t>Tax</t>
  </si>
  <si>
    <t>Cumulative Free Cash Flows</t>
  </si>
  <si>
    <t>Shareholders' funds</t>
  </si>
  <si>
    <t>Cumulative Free Cash Flows incl initial investment</t>
  </si>
  <si>
    <t>Payback flag</t>
  </si>
  <si>
    <t>Payback period (months)</t>
  </si>
  <si>
    <t>Maximum funding requirement</t>
  </si>
  <si>
    <t>Terminal value Cash Flow</t>
  </si>
  <si>
    <t>Terminal value</t>
  </si>
  <si>
    <t>Cash flows to discount</t>
  </si>
  <si>
    <t>Overall Model Assumptions</t>
  </si>
  <si>
    <t>Range Name</t>
  </si>
  <si>
    <t>Value</t>
  </si>
  <si>
    <t>Units</t>
  </si>
  <si>
    <t>General Assumptions</t>
  </si>
  <si>
    <t>Model name</t>
  </si>
  <si>
    <t>AssmModelName</t>
  </si>
  <si>
    <t>Growth Startup</t>
  </si>
  <si>
    <t>Text</t>
  </si>
  <si>
    <t>Start Date</t>
  </si>
  <si>
    <t>AssmStartDate</t>
  </si>
  <si>
    <t>Date</t>
  </si>
  <si>
    <t>Company Tax Rate</t>
  </si>
  <si>
    <t>AssmCoTaxRate</t>
  </si>
  <si>
    <t>%</t>
  </si>
  <si>
    <t>Debtor Collection Assumptions</t>
  </si>
  <si>
    <t>Business Case</t>
  </si>
  <si>
    <t>AssmBusinessCase</t>
  </si>
  <si>
    <t>High</t>
  </si>
  <si>
    <t>Months</t>
  </si>
  <si>
    <t>Staffing Scenario</t>
  </si>
  <si>
    <t>AssmStaffScenario</t>
  </si>
  <si>
    <t>Fast</t>
  </si>
  <si>
    <t>Model Header</t>
  </si>
  <si>
    <t>AssmModelHeader</t>
  </si>
  <si>
    <t>AssmLegal</t>
  </si>
  <si>
    <t>per month</t>
  </si>
  <si>
    <t>AssmAccounting</t>
  </si>
  <si>
    <t>per month (doubling every 12 months)</t>
  </si>
  <si>
    <t>AssmIT</t>
  </si>
  <si>
    <t>AssmBankFees</t>
  </si>
  <si>
    <t>of revenue</t>
  </si>
  <si>
    <t>Creditor Payment Assumptions</t>
  </si>
  <si>
    <t>AssmHosting</t>
  </si>
  <si>
    <t>AssmOffice</t>
  </si>
  <si>
    <t>per full-time employee</t>
  </si>
  <si>
    <t>AssmTelecom</t>
  </si>
  <si>
    <t>AssmContingency</t>
  </si>
  <si>
    <t>of total expenditure</t>
  </si>
  <si>
    <t>Credit Interest Rate</t>
  </si>
  <si>
    <t>AssmCrInterest</t>
  </si>
  <si>
    <t>% pa</t>
  </si>
  <si>
    <t>Laptop cost</t>
  </si>
  <si>
    <t>AssmLaptop</t>
  </si>
  <si>
    <t>$/person</t>
  </si>
  <si>
    <t>Laptop effective life</t>
  </si>
  <si>
    <t>AssmLaptopLife</t>
  </si>
  <si>
    <t>months</t>
  </si>
  <si>
    <t>Bank Loan Amount</t>
  </si>
  <si>
    <t>AssmLoanAmt</t>
  </si>
  <si>
    <t>Bank Loan Term</t>
  </si>
  <si>
    <t>AssmLoanTerm</t>
  </si>
  <si>
    <t>Founder's Property Value</t>
  </si>
  <si>
    <t>AssmLoanSecurity</t>
  </si>
  <si>
    <t>Bank Loan Interest Rate</t>
  </si>
  <si>
    <t>AssmDrInterest</t>
  </si>
  <si>
    <t>Bank Loan Commencement Date</t>
  </si>
  <si>
    <t>AssmLoanStart</t>
  </si>
  <si>
    <t>date</t>
  </si>
  <si>
    <t>AssmEquity</t>
  </si>
  <si>
    <t>Shareholders' funds contribution date</t>
  </si>
  <si>
    <t>AssmEquityDate</t>
  </si>
  <si>
    <t>AssmWACC</t>
  </si>
  <si>
    <t>Terminal Value Growth Rate</t>
  </si>
  <si>
    <t>AssmTVGrowthRate</t>
  </si>
  <si>
    <t>Annual Assumptions</t>
  </si>
  <si>
    <t>Key Inputs</t>
  </si>
  <si>
    <t>tblAnnualAssm</t>
  </si>
  <si>
    <t>Year</t>
  </si>
  <si>
    <t>Case</t>
  </si>
  <si>
    <t>Input Type</t>
  </si>
  <si>
    <t>Description</t>
  </si>
  <si>
    <t>1</t>
  </si>
  <si>
    <t>2</t>
  </si>
  <si>
    <t>3</t>
  </si>
  <si>
    <t>4</t>
  </si>
  <si>
    <t>5</t>
  </si>
  <si>
    <t>Low</t>
  </si>
  <si>
    <t>Base</t>
  </si>
  <si>
    <t>Monthly Assumptions</t>
  </si>
  <si>
    <t>Time Series</t>
  </si>
  <si>
    <t>Start of the month</t>
  </si>
  <si>
    <t>End of the month</t>
  </si>
  <si>
    <t>Scenario</t>
  </si>
  <si>
    <t>Position</t>
  </si>
  <si>
    <t>Salary</t>
  </si>
  <si>
    <t>Number of Staff</t>
  </si>
  <si>
    <t>Slow</t>
  </si>
  <si>
    <t>Gradual</t>
  </si>
  <si>
    <t>Reference Tables</t>
  </si>
  <si>
    <t>refCaseNames</t>
  </si>
  <si>
    <t>Starting Customers</t>
  </si>
  <si>
    <t>tblInputType</t>
  </si>
  <si>
    <t>Customer # Growth Rate per Mth</t>
  </si>
  <si>
    <t>Attrition rate per year</t>
  </si>
  <si>
    <t>$/month</t>
  </si>
  <si>
    <t>% of Sales</t>
  </si>
  <si>
    <t>Rent per person per mth</t>
  </si>
  <si>
    <t>refStaffScenario</t>
  </si>
  <si>
    <t>refStaffPositions</t>
  </si>
  <si>
    <t>Modelling Conventions</t>
  </si>
  <si>
    <t>Styles and Conventions used in this Model</t>
  </si>
  <si>
    <t>Data Entry</t>
  </si>
  <si>
    <t>Data entry cell</t>
  </si>
  <si>
    <t>Calculation</t>
  </si>
  <si>
    <t>Error</t>
  </si>
  <si>
    <t>Error message - Error</t>
  </si>
  <si>
    <t>OK</t>
  </si>
  <si>
    <t>Error message - OK</t>
  </si>
  <si>
    <t>Name of named range</t>
  </si>
  <si>
    <t>Hyperlink</t>
  </si>
  <si>
    <t>Heading 1</t>
  </si>
  <si>
    <t>Heading level 1</t>
  </si>
  <si>
    <t>Heading 2</t>
  </si>
  <si>
    <t>Heading level 2</t>
  </si>
  <si>
    <t>Heading 3</t>
  </si>
  <si>
    <t>Heading level 3</t>
  </si>
  <si>
    <t>File Structure</t>
  </si>
  <si>
    <t>Model Details</t>
  </si>
  <si>
    <t>Author:</t>
  </si>
  <si>
    <t>Jeff Robson</t>
  </si>
  <si>
    <t>Contact:</t>
  </si>
  <si>
    <t>+61 8 6210 8500</t>
  </si>
  <si>
    <t>Date:</t>
  </si>
  <si>
    <t>Version:</t>
  </si>
  <si>
    <t>Owner:</t>
  </si>
  <si>
    <t>M Owner</t>
  </si>
  <si>
    <t>Model Purpose &amp; Overview</t>
  </si>
  <si>
    <t>ToDo List</t>
  </si>
  <si>
    <t>Assigned to</t>
  </si>
  <si>
    <t>Completed by</t>
  </si>
  <si>
    <t>Completed On</t>
  </si>
  <si>
    <t>Resolve balance sheet issue</t>
  </si>
  <si>
    <t>J Robson</t>
  </si>
  <si>
    <t>Version</t>
  </si>
  <si>
    <t>Changed by</t>
  </si>
  <si>
    <t>Checked by</t>
  </si>
  <si>
    <t>Completed initial model</t>
  </si>
  <si>
    <t>M Odel</t>
  </si>
  <si>
    <t>Added documentation</t>
  </si>
  <si>
    <t>G S Lowe</t>
  </si>
  <si>
    <t>AccessEXL Config</t>
  </si>
  <si>
    <t>APIConfigTable</t>
  </si>
  <si>
    <t>Current Value</t>
  </si>
  <si>
    <t>Direction</t>
  </si>
  <si>
    <t>Type</t>
  </si>
  <si>
    <t>Min</t>
  </si>
  <si>
    <t>Max</t>
  </si>
  <si>
    <t>ValidationRangeName</t>
  </si>
  <si>
    <t>Display Name</t>
  </si>
  <si>
    <t>Write</t>
  </si>
  <si>
    <t>Business case scenarios</t>
  </si>
  <si>
    <t>Staffing scenarios</t>
  </si>
  <si>
    <t>Staffing Ramp up Speed</t>
  </si>
  <si>
    <t>Number</t>
  </si>
  <si>
    <t>P&amp;I debt funding amount</t>
  </si>
  <si>
    <t>Loan Amount</t>
  </si>
  <si>
    <t>Loan Interest rate</t>
  </si>
  <si>
    <t>Weighted Average Cost of Capital</t>
  </si>
  <si>
    <t>V_NPV</t>
  </si>
  <si>
    <t>Read</t>
  </si>
  <si>
    <t>Net Present Value</t>
  </si>
  <si>
    <t>V_IRR</t>
  </si>
  <si>
    <t>Internal Rate of Return</t>
  </si>
  <si>
    <t>V_CashFlow</t>
  </si>
  <si>
    <t>Total of all Cash Flows</t>
  </si>
  <si>
    <t>V_NPATperYr</t>
  </si>
  <si>
    <t>NPAT per year</t>
  </si>
  <si>
    <t>Net profit after tax per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</si>
</sst>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6" formatCode="&quot;$&quot;#,##0;[Red]\-&quot;$&quot;#,##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&quot;$&quot;#,##0.00"/>
    <numFmt numFmtId="165" formatCode="[$-409]mmm\-yy;@"/>
    <numFmt numFmtId="166" formatCode="0.0%"/>
    <numFmt numFmtId="167" formatCode="&quot;$&quot;#,##0"/>
    <numFmt numFmtId="168" formatCode="_-* #,##0.0_-;\-* #,##0.0_-;_-* &quot;-&quot;??_-;_-@_-"/>
    <numFmt numFmtId="169" formatCode="_-&quot;$&quot;* #,##0_-;\-&quot;$&quot;* #,##0_-;_-&quot;$&quot;* &quot;-&quot;??_-;_-@_-"/>
    <numFmt numFmtId="170" formatCode="_-* #,##0_-;\-* #,##0_-;_-* &quot;-&quot;??_-;_-@_-"/>
  </numFmts>
  <fonts count="32" x14ac:knownFonts="1">
    <font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rgb="FF3F3F7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8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sz val="10"/>
      <color rgb="FFFF0000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5"/>
      <color theme="0"/>
      <name val="Calibri"/>
      <family val="2"/>
      <scheme val="minor"/>
    </font>
    <font>
      <b/>
      <sz val="13"/>
      <color theme="0"/>
      <name val="Calibri"/>
      <family val="2"/>
      <scheme val="minor"/>
    </font>
    <font>
      <i/>
      <sz val="8"/>
      <color rgb="FF7F7F7F"/>
      <name val="Calibri"/>
      <family val="2"/>
      <scheme val="minor"/>
    </font>
    <font>
      <b/>
      <sz val="11"/>
      <name val="Calibri"/>
      <family val="2"/>
    </font>
    <font>
      <sz val="8"/>
      <name val="Calibri"/>
      <family val="2"/>
    </font>
    <font>
      <sz val="11"/>
      <name val="Calibri"/>
      <family val="2"/>
    </font>
    <font>
      <sz val="8"/>
      <color rgb="FFC00000"/>
      <name val="Calibri"/>
      <family val="2"/>
    </font>
    <font>
      <u/>
      <sz val="10"/>
      <color theme="10"/>
      <name val="Arial"/>
      <family val="2"/>
    </font>
    <font>
      <b/>
      <sz val="10"/>
      <name val="Arial"/>
      <family val="2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/>
        <bgColor theme="4"/>
      </patternFill>
    </fill>
    <fill>
      <patternFill patternType="solid">
        <fgColor theme="4" tint="0.59999389629810485"/>
        <bgColor theme="4" tint="0.59999389629810485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 tint="-0.14999847407452621"/>
        <bgColor indexed="64"/>
      </patternFill>
    </fill>
    <fill>
      <patternFill patternType="lightUp">
        <fgColor theme="0" tint="-0.24994659260841701"/>
        <bgColor indexed="65"/>
      </patternFill>
    </fill>
    <fill>
      <patternFill patternType="solid">
        <fgColor theme="3" tint="0.39994506668294322"/>
        <bgColor indexed="64"/>
      </patternFill>
    </fill>
    <fill>
      <patternFill patternType="solid">
        <fgColor theme="3" tint="0.599963377788628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</fills>
  <borders count="14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ck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/>
      <top/>
      <bottom style="thick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ashed">
        <color theme="3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</borders>
  <cellStyleXfs count="23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" fillId="2" borderId="1" applyNumberFormat="0" applyAlignment="0" applyProtection="0"/>
    <xf numFmtId="0" fontId="4" fillId="3" borderId="1" applyNumberFormat="0" applyAlignment="0" applyProtection="0"/>
    <xf numFmtId="0" fontId="21" fillId="0" borderId="0" applyNumberFormat="0" applyFill="0" applyBorder="0" applyAlignment="0" applyProtection="0"/>
    <xf numFmtId="0" fontId="6" fillId="0" borderId="2" applyNumberFormat="0" applyFill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8" fillId="10" borderId="0" applyNumberFormat="0" applyFont="0" applyBorder="0" applyAlignment="0" applyProtection="0"/>
    <xf numFmtId="0" fontId="19" fillId="11" borderId="7" applyNumberFormat="0" applyAlignment="0" applyProtection="0"/>
    <xf numFmtId="0" fontId="20" fillId="12" borderId="9" applyNumberFormat="0" applyAlignment="0" applyProtection="0"/>
    <xf numFmtId="0" fontId="18" fillId="13" borderId="10" applyNumberFormat="0" applyAlignment="0" applyProtection="0"/>
    <xf numFmtId="0" fontId="18" fillId="0" borderId="11" applyNumberFormat="0" applyFill="0" applyAlignment="0" applyProtection="0"/>
    <xf numFmtId="44" fontId="24" fillId="0" borderId="0" applyFon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11" borderId="7" applyNumberFormat="0" applyAlignment="0" applyProtection="0"/>
    <xf numFmtId="0" fontId="1" fillId="0" borderId="0"/>
    <xf numFmtId="0" fontId="20" fillId="12" borderId="9" applyNumberFormat="0" applyAlignment="0" applyProtection="0"/>
    <xf numFmtId="0" fontId="28" fillId="14" borderId="0" applyNumberFormat="0" applyBorder="0" applyAlignment="0" applyProtection="0"/>
    <xf numFmtId="0" fontId="29" fillId="15" borderId="0" applyNumberFormat="0" applyBorder="0" applyAlignment="0" applyProtection="0"/>
    <xf numFmtId="0" fontId="30" fillId="3" borderId="12" applyNumberFormat="0" applyAlignment="0" applyProtection="0"/>
  </cellStyleXfs>
  <cellXfs count="124">
    <xf numFmtId="0" fontId="0" fillId="0" borderId="0" xfId="0"/>
    <xf numFmtId="0" fontId="8" fillId="0" borderId="0" xfId="0" applyFont="1"/>
    <xf numFmtId="0" fontId="10" fillId="0" borderId="0" xfId="0" applyFont="1" applyAlignment="1">
      <alignment horizontal="right"/>
    </xf>
    <xf numFmtId="0" fontId="10" fillId="0" borderId="0" xfId="0" applyFont="1"/>
    <xf numFmtId="0" fontId="9" fillId="0" borderId="0" xfId="0" applyFont="1"/>
    <xf numFmtId="0" fontId="8" fillId="0" borderId="0" xfId="0" applyFont="1" applyAlignment="1">
      <alignment horizontal="left"/>
    </xf>
    <xf numFmtId="3" fontId="8" fillId="0" borderId="0" xfId="0" applyNumberFormat="1" applyFont="1" applyAlignment="1">
      <alignment horizontal="right"/>
    </xf>
    <xf numFmtId="3" fontId="8" fillId="0" borderId="0" xfId="0" applyNumberFormat="1" applyFont="1"/>
    <xf numFmtId="0" fontId="8" fillId="0" borderId="0" xfId="0" applyFont="1" applyAlignment="1">
      <alignment horizontal="center"/>
    </xf>
    <xf numFmtId="0" fontId="12" fillId="7" borderId="3" xfId="0" applyFont="1" applyFill="1" applyBorder="1"/>
    <xf numFmtId="0" fontId="12" fillId="8" borderId="3" xfId="0" applyFont="1" applyFill="1" applyBorder="1"/>
    <xf numFmtId="0" fontId="11" fillId="6" borderId="4" xfId="0" applyFont="1" applyFill="1" applyBorder="1" applyAlignment="1">
      <alignment horizontal="left"/>
    </xf>
    <xf numFmtId="0" fontId="12" fillId="7" borderId="5" xfId="0" applyFont="1" applyFill="1" applyBorder="1"/>
    <xf numFmtId="0" fontId="12" fillId="8" borderId="5" xfId="0" applyFont="1" applyFill="1" applyBorder="1"/>
    <xf numFmtId="0" fontId="12" fillId="7" borderId="6" xfId="0" applyFont="1" applyFill="1" applyBorder="1"/>
    <xf numFmtId="0" fontId="21" fillId="0" borderId="0" xfId="5"/>
    <xf numFmtId="0" fontId="8" fillId="9" borderId="0" xfId="0" applyFont="1" applyFill="1"/>
    <xf numFmtId="4" fontId="3" fillId="2" borderId="1" xfId="3" applyNumberFormat="1"/>
    <xf numFmtId="0" fontId="3" fillId="2" borderId="1" xfId="3"/>
    <xf numFmtId="10" fontId="3" fillId="2" borderId="1" xfId="3" applyNumberFormat="1"/>
    <xf numFmtId="164" fontId="3" fillId="2" borderId="1" xfId="3" applyNumberFormat="1"/>
    <xf numFmtId="3" fontId="3" fillId="2" borderId="1" xfId="3" applyNumberFormat="1"/>
    <xf numFmtId="0" fontId="3" fillId="2" borderId="1" xfId="3" applyAlignment="1">
      <alignment horizontal="left"/>
    </xf>
    <xf numFmtId="0" fontId="3" fillId="2" borderId="1" xfId="3" applyAlignment="1">
      <alignment horizontal="center"/>
    </xf>
    <xf numFmtId="14" fontId="3" fillId="2" borderId="1" xfId="3" applyNumberFormat="1" applyAlignment="1">
      <alignment horizontal="center"/>
    </xf>
    <xf numFmtId="9" fontId="3" fillId="2" borderId="1" xfId="3" applyNumberFormat="1" applyAlignment="1">
      <alignment horizontal="center"/>
    </xf>
    <xf numFmtId="0" fontId="4" fillId="3" borderId="1" xfId="4"/>
    <xf numFmtId="0" fontId="5" fillId="0" borderId="0" xfId="5" applyFont="1"/>
    <xf numFmtId="3" fontId="8" fillId="0" borderId="0" xfId="0" applyNumberFormat="1" applyFont="1" applyAlignment="1">
      <alignment horizontal="center"/>
    </xf>
    <xf numFmtId="167" fontId="3" fillId="2" borderId="1" xfId="3" applyNumberFormat="1"/>
    <xf numFmtId="0" fontId="13" fillId="0" borderId="0" xfId="0" applyFont="1"/>
    <xf numFmtId="0" fontId="14" fillId="0" borderId="0" xfId="0" applyFont="1"/>
    <xf numFmtId="3" fontId="13" fillId="0" borderId="0" xfId="0" applyNumberFormat="1" applyFont="1"/>
    <xf numFmtId="0" fontId="5" fillId="0" borderId="0" xfId="5" applyFont="1" applyBorder="1"/>
    <xf numFmtId="10" fontId="13" fillId="0" borderId="0" xfId="1" applyNumberFormat="1" applyFont="1"/>
    <xf numFmtId="0" fontId="13" fillId="10" borderId="0" xfId="9" applyFont="1"/>
    <xf numFmtId="167" fontId="13" fillId="0" borderId="0" xfId="1" applyNumberFormat="1" applyFont="1"/>
    <xf numFmtId="167" fontId="13" fillId="0" borderId="0" xfId="0" applyNumberFormat="1" applyFont="1"/>
    <xf numFmtId="168" fontId="13" fillId="0" borderId="0" xfId="2" applyNumberFormat="1" applyFont="1"/>
    <xf numFmtId="168" fontId="13" fillId="0" borderId="0" xfId="0" applyNumberFormat="1" applyFont="1"/>
    <xf numFmtId="0" fontId="7" fillId="5" borderId="0" xfId="8"/>
    <xf numFmtId="0" fontId="7" fillId="4" borderId="0" xfId="7"/>
    <xf numFmtId="14" fontId="7" fillId="4" borderId="0" xfId="7" applyNumberFormat="1"/>
    <xf numFmtId="0" fontId="6" fillId="0" borderId="2" xfId="6"/>
    <xf numFmtId="167" fontId="6" fillId="0" borderId="2" xfId="6" applyNumberFormat="1"/>
    <xf numFmtId="9" fontId="13" fillId="0" borderId="0" xfId="1" applyFont="1"/>
    <xf numFmtId="166" fontId="13" fillId="0" borderId="0" xfId="1" applyNumberFormat="1" applyFont="1"/>
    <xf numFmtId="0" fontId="9" fillId="9" borderId="0" xfId="0" applyFont="1" applyFill="1" applyAlignment="1">
      <alignment horizontal="left"/>
    </xf>
    <xf numFmtId="0" fontId="9" fillId="9" borderId="0" xfId="0" applyFont="1" applyFill="1"/>
    <xf numFmtId="3" fontId="9" fillId="9" borderId="0" xfId="0" applyNumberFormat="1" applyFont="1" applyFill="1" applyAlignment="1">
      <alignment horizontal="center"/>
    </xf>
    <xf numFmtId="3" fontId="9" fillId="9" borderId="0" xfId="0" applyNumberFormat="1" applyFont="1" applyFill="1"/>
    <xf numFmtId="0" fontId="10" fillId="0" borderId="0" xfId="0" applyFont="1" applyAlignment="1">
      <alignment horizontal="left"/>
    </xf>
    <xf numFmtId="167" fontId="14" fillId="0" borderId="0" xfId="1" applyNumberFormat="1" applyFont="1"/>
    <xf numFmtId="167" fontId="14" fillId="0" borderId="0" xfId="0" applyNumberFormat="1" applyFont="1"/>
    <xf numFmtId="10" fontId="3" fillId="2" borderId="1" xfId="3" applyNumberFormat="1" applyAlignment="1">
      <alignment horizontal="center"/>
    </xf>
    <xf numFmtId="167" fontId="8" fillId="0" borderId="0" xfId="0" applyNumberFormat="1" applyFont="1"/>
    <xf numFmtId="6" fontId="3" fillId="2" borderId="1" xfId="3" applyNumberFormat="1" applyAlignment="1">
      <alignment horizontal="center"/>
    </xf>
    <xf numFmtId="167" fontId="8" fillId="10" borderId="0" xfId="9" applyNumberFormat="1" applyFont="1"/>
    <xf numFmtId="14" fontId="4" fillId="3" borderId="1" xfId="4" applyNumberFormat="1" applyAlignment="1">
      <alignment horizontal="center"/>
    </xf>
    <xf numFmtId="167" fontId="9" fillId="0" borderId="0" xfId="0" applyNumberFormat="1" applyFont="1"/>
    <xf numFmtId="0" fontId="14" fillId="0" borderId="0" xfId="0" applyFont="1" applyAlignment="1">
      <alignment horizontal="right"/>
    </xf>
    <xf numFmtId="164" fontId="8" fillId="0" borderId="0" xfId="0" applyNumberFormat="1" applyFont="1"/>
    <xf numFmtId="43" fontId="8" fillId="0" borderId="0" xfId="2" applyFont="1"/>
    <xf numFmtId="9" fontId="8" fillId="0" borderId="0" xfId="1" applyFont="1"/>
    <xf numFmtId="0" fontId="17" fillId="0" borderId="0" xfId="0" applyFont="1"/>
    <xf numFmtId="9" fontId="8" fillId="0" borderId="0" xfId="0" applyNumberFormat="1" applyFont="1" applyAlignment="1">
      <alignment horizontal="center"/>
    </xf>
    <xf numFmtId="166" fontId="8" fillId="0" borderId="0" xfId="0" applyNumberFormat="1" applyFont="1" applyAlignment="1">
      <alignment horizontal="center"/>
    </xf>
    <xf numFmtId="0" fontId="9" fillId="0" borderId="0" xfId="0" applyFont="1" applyAlignment="1">
      <alignment horizontal="right"/>
    </xf>
    <xf numFmtId="0" fontId="18" fillId="13" borderId="10" xfId="12"/>
    <xf numFmtId="0" fontId="20" fillId="12" borderId="9" xfId="11"/>
    <xf numFmtId="0" fontId="19" fillId="11" borderId="7" xfId="10"/>
    <xf numFmtId="0" fontId="18" fillId="13" borderId="10" xfId="12" applyAlignment="1">
      <alignment horizontal="right"/>
    </xf>
    <xf numFmtId="167" fontId="0" fillId="0" borderId="0" xfId="0" applyNumberFormat="1"/>
    <xf numFmtId="9" fontId="0" fillId="0" borderId="0" xfId="0" applyNumberFormat="1"/>
    <xf numFmtId="0" fontId="0" fillId="0" borderId="0" xfId="0" applyAlignment="1">
      <alignment horizontal="center"/>
    </xf>
    <xf numFmtId="0" fontId="21" fillId="0" borderId="0" xfId="5" applyAlignment="1">
      <alignment horizontal="center"/>
    </xf>
    <xf numFmtId="0" fontId="22" fillId="0" borderId="0" xfId="0" applyFont="1"/>
    <xf numFmtId="14" fontId="21" fillId="0" borderId="0" xfId="5" applyNumberFormat="1"/>
    <xf numFmtId="0" fontId="23" fillId="0" borderId="0" xfId="0" applyFont="1" applyAlignment="1">
      <alignment horizontal="center"/>
    </xf>
    <xf numFmtId="0" fontId="23" fillId="0" borderId="0" xfId="0" applyFont="1"/>
    <xf numFmtId="167" fontId="23" fillId="0" borderId="0" xfId="0" applyNumberFormat="1" applyFont="1"/>
    <xf numFmtId="0" fontId="0" fillId="0" borderId="8" xfId="0" applyBorder="1"/>
    <xf numFmtId="167" fontId="0" fillId="0" borderId="8" xfId="0" applyNumberFormat="1" applyBorder="1"/>
    <xf numFmtId="0" fontId="18" fillId="0" borderId="11" xfId="13"/>
    <xf numFmtId="167" fontId="22" fillId="0" borderId="0" xfId="0" applyNumberFormat="1" applyFont="1"/>
    <xf numFmtId="167" fontId="10" fillId="0" borderId="0" xfId="0" applyNumberFormat="1" applyFont="1" applyAlignment="1">
      <alignment horizontal="right"/>
    </xf>
    <xf numFmtId="166" fontId="8" fillId="0" borderId="0" xfId="1" applyNumberFormat="1" applyFont="1"/>
    <xf numFmtId="0" fontId="0" fillId="9" borderId="0" xfId="0" applyFill="1"/>
    <xf numFmtId="0" fontId="0" fillId="9" borderId="0" xfId="0" applyFill="1" applyAlignment="1">
      <alignment horizontal="right"/>
    </xf>
    <xf numFmtId="9" fontId="0" fillId="9" borderId="0" xfId="1" applyFont="1" applyFill="1"/>
    <xf numFmtId="169" fontId="0" fillId="9" borderId="0" xfId="14" applyNumberFormat="1" applyFont="1" applyFill="1"/>
    <xf numFmtId="166" fontId="0" fillId="9" borderId="0" xfId="1" applyNumberFormat="1" applyFont="1" applyFill="1"/>
    <xf numFmtId="0" fontId="25" fillId="0" borderId="0" xfId="15"/>
    <xf numFmtId="0" fontId="26" fillId="0" borderId="0" xfId="16"/>
    <xf numFmtId="0" fontId="0" fillId="0" borderId="0" xfId="0" applyAlignment="1">
      <alignment horizontal="right"/>
    </xf>
    <xf numFmtId="0" fontId="8" fillId="0" borderId="0" xfId="0" applyFont="1" applyAlignment="1">
      <alignment horizontal="right"/>
    </xf>
    <xf numFmtId="0" fontId="19" fillId="11" borderId="7" xfId="17"/>
    <xf numFmtId="0" fontId="1" fillId="0" borderId="0" xfId="18"/>
    <xf numFmtId="0" fontId="20" fillId="12" borderId="9" xfId="19"/>
    <xf numFmtId="0" fontId="8" fillId="0" borderId="0" xfId="18" applyFont="1"/>
    <xf numFmtId="167" fontId="27" fillId="0" borderId="0" xfId="0" applyNumberFormat="1" applyFont="1"/>
    <xf numFmtId="0" fontId="19" fillId="11" borderId="7" xfId="10" applyAlignment="1">
      <alignment horizontal="right"/>
    </xf>
    <xf numFmtId="165" fontId="19" fillId="11" borderId="7" xfId="10" applyNumberFormat="1"/>
    <xf numFmtId="167" fontId="19" fillId="11" borderId="7" xfId="10" applyNumberFormat="1"/>
    <xf numFmtId="14" fontId="9" fillId="0" borderId="0" xfId="0" applyNumberFormat="1" applyFont="1"/>
    <xf numFmtId="14" fontId="9" fillId="0" borderId="0" xfId="0" applyNumberFormat="1" applyFont="1" applyAlignment="1">
      <alignment horizontal="right"/>
    </xf>
    <xf numFmtId="0" fontId="30" fillId="3" borderId="12" xfId="22"/>
    <xf numFmtId="0" fontId="28" fillId="14" borderId="0" xfId="20"/>
    <xf numFmtId="0" fontId="29" fillId="15" borderId="0" xfId="21"/>
    <xf numFmtId="0" fontId="25" fillId="0" borderId="0" xfId="15" applyAlignment="1">
      <alignment horizontal="right"/>
    </xf>
    <xf numFmtId="14" fontId="3" fillId="2" borderId="1" xfId="3" applyNumberFormat="1"/>
    <xf numFmtId="14" fontId="3" fillId="2" borderId="1" xfId="3" applyNumberFormat="1" applyAlignment="1">
      <alignment horizontal="left"/>
    </xf>
    <xf numFmtId="2" fontId="3" fillId="2" borderId="1" xfId="3" applyNumberFormat="1"/>
    <xf numFmtId="2" fontId="3" fillId="2" borderId="1" xfId="3" applyNumberFormat="1" applyAlignment="1">
      <alignment horizontal="left"/>
    </xf>
    <xf numFmtId="170" fontId="0" fillId="0" borderId="0" xfId="2" applyNumberFormat="1" applyFont="1"/>
    <xf numFmtId="6" fontId="0" fillId="0" borderId="0" xfId="14" applyNumberFormat="1" applyFont="1"/>
    <xf numFmtId="0" fontId="31" fillId="0" borderId="0" xfId="16" applyFont="1"/>
    <xf numFmtId="6" fontId="8" fillId="0" borderId="0" xfId="0" applyNumberFormat="1" applyFont="1"/>
    <xf numFmtId="9" fontId="8" fillId="0" borderId="0" xfId="0" applyNumberFormat="1" applyFont="1"/>
    <xf numFmtId="0" fontId="19" fillId="11" borderId="7" xfId="10" applyAlignment="1">
      <alignment horizontal="center"/>
    </xf>
    <xf numFmtId="0" fontId="20" fillId="12" borderId="9" xfId="11" applyAlignment="1">
      <alignment horizontal="center"/>
    </xf>
    <xf numFmtId="0" fontId="9" fillId="0" borderId="0" xfId="0" applyFont="1" applyAlignment="1">
      <alignment horizontal="center"/>
    </xf>
    <xf numFmtId="0" fontId="4" fillId="3" borderId="1" xfId="4" applyAlignment="1">
      <alignment horizontal="center"/>
    </xf>
    <xf numFmtId="0" fontId="4" fillId="3" borderId="13" xfId="4" applyNumberFormat="1" applyBorder="1" applyAlignment="1">
      <alignment horizontal="center"/>
    </xf>
  </cellXfs>
  <cellStyles count="23">
    <cellStyle name="60% - Accent1" xfId="8" builtinId="32"/>
    <cellStyle name="Accent1" xfId="7" builtinId="29"/>
    <cellStyle name="Bad" xfId="21" builtinId="27"/>
    <cellStyle name="Calculation" xfId="4" builtinId="22"/>
    <cellStyle name="Comma" xfId="2" builtinId="3"/>
    <cellStyle name="Currency" xfId="14" builtinId="4"/>
    <cellStyle name="Different First Cell" xfId="9" xr:uid="{00000000-0005-0000-0000-000006000000}"/>
    <cellStyle name="Explanatory Text" xfId="5" builtinId="53" customBuiltin="1"/>
    <cellStyle name="Good" xfId="20" builtinId="26"/>
    <cellStyle name="Heading 1" xfId="10" builtinId="16" customBuiltin="1"/>
    <cellStyle name="Heading 1 2" xfId="17" xr:uid="{00000000-0005-0000-0000-00000A000000}"/>
    <cellStyle name="Heading 2" xfId="11" builtinId="17" customBuiltin="1"/>
    <cellStyle name="Heading 2 2" xfId="19" xr:uid="{00000000-0005-0000-0000-00000C000000}"/>
    <cellStyle name="Heading 3" xfId="12" builtinId="18" customBuiltin="1"/>
    <cellStyle name="Heading 4" xfId="13" builtinId="19" customBuiltin="1"/>
    <cellStyle name="Hyperlink" xfId="16" builtinId="8" customBuiltin="1"/>
    <cellStyle name="Input" xfId="3" builtinId="20"/>
    <cellStyle name="Normal" xfId="0" builtinId="0" customBuiltin="1"/>
    <cellStyle name="Normal 2" xfId="18" xr:uid="{00000000-0005-0000-0000-000012000000}"/>
    <cellStyle name="Output" xfId="22" builtinId="21"/>
    <cellStyle name="Percent" xfId="1" builtinId="5"/>
    <cellStyle name="RangeName" xfId="15" xr:uid="{00000000-0005-0000-0000-000016000000}"/>
    <cellStyle name="Total" xfId="6" builtinId="25"/>
  </cellStyles>
  <dxfs count="77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5"/>
      </font>
      <fill>
        <patternFill>
          <bgColor theme="5" tint="0.59996337778862885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strike val="0"/>
        <outline val="0"/>
        <shadow val="0"/>
        <u val="none"/>
        <vertAlign val="baseline"/>
        <name val="Calibri"/>
        <scheme val="minor"/>
      </font>
    </dxf>
    <dxf>
      <font>
        <strike val="0"/>
        <outline val="0"/>
        <shadow val="0"/>
        <u val="none"/>
        <vertAlign val="baseline"/>
        <name val="Calibri"/>
        <scheme val="minor"/>
      </font>
    </dxf>
    <dxf>
      <font>
        <strike val="0"/>
        <outline val="0"/>
        <shadow val="0"/>
        <u val="none"/>
        <vertAlign val="baseline"/>
        <name val="Calibri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strike val="0"/>
        <outline val="0"/>
        <shadow val="0"/>
        <u val="none"/>
        <vertAlign val="baseline"/>
        <name val="Calibri"/>
        <scheme val="minor"/>
      </font>
    </dxf>
    <dxf>
      <font>
        <strike val="0"/>
        <outline val="0"/>
        <shadow val="0"/>
        <u val="none"/>
        <vertAlign val="baseline"/>
        <name val="Calibri"/>
        <scheme val="minor"/>
      </font>
    </dxf>
    <dxf>
      <border outline="0">
        <top style="thin">
          <color theme="0"/>
        </top>
      </border>
    </dxf>
    <dxf>
      <border outline="0">
        <right style="thin">
          <color theme="0"/>
        </right>
        <bottom style="thin">
          <color theme="0"/>
        </bottom>
      </border>
    </dxf>
    <dxf>
      <font>
        <strike val="0"/>
        <outline val="0"/>
        <shadow val="0"/>
        <u val="none"/>
        <vertAlign val="baseline"/>
        <name val="Calibri"/>
        <scheme val="minor"/>
      </font>
    </dxf>
    <dxf>
      <border outline="0">
        <bottom style="thick">
          <color theme="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13" formatCode="0%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13" formatCode="0%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alignment horizontal="center" vertical="bottom" textRotation="0" wrapText="0" indent="0" justifyLastLine="0" shrinkToFit="0" readingOrder="0"/>
    </dxf>
    <dxf>
      <numFmt numFmtId="14" formatCode="0.00%"/>
    </dxf>
    <dxf>
      <numFmt numFmtId="14" formatCode="0.00%"/>
    </dxf>
    <dxf>
      <numFmt numFmtId="14" formatCode="0.00%"/>
    </dxf>
    <dxf>
      <numFmt numFmtId="14" formatCode="0.00%"/>
    </dxf>
    <dxf>
      <numFmt numFmtId="14" formatCode="0.0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0" formatCode="General"/>
      <fill>
        <patternFill patternType="solid">
          <fgColor indexed="64"/>
          <bgColor theme="0" tint="-0.1499984740745262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strike val="0"/>
        <outline val="0"/>
        <shadow val="0"/>
        <u val="none"/>
        <vertAlign val="baseline"/>
        <name val="Calibri"/>
        <scheme val="minor"/>
      </font>
    </dxf>
    <dxf>
      <font>
        <strike val="0"/>
        <outline val="0"/>
        <shadow val="0"/>
        <u val="none"/>
        <vertAlign val="baseline"/>
        <name val="Calibri"/>
        <scheme val="minor"/>
      </font>
    </dxf>
    <dxf>
      <font>
        <strike val="0"/>
        <outline val="0"/>
        <shadow val="0"/>
        <vertAlign val="baseline"/>
        <name val="Calibri"/>
        <family val="2"/>
        <scheme val="minor"/>
      </font>
    </dxf>
    <dxf>
      <font>
        <strike val="0"/>
        <outline val="0"/>
        <shadow val="0"/>
        <vertAlign val="baseline"/>
        <name val="Calibri"/>
        <family val="2"/>
        <scheme val="minor"/>
      </font>
    </dxf>
    <dxf>
      <font>
        <strike val="0"/>
        <outline val="0"/>
        <shadow val="0"/>
        <vertAlign val="baseline"/>
        <name val="Calibri"/>
        <family val="2"/>
        <scheme val="minor"/>
      </font>
    </dxf>
    <dxf>
      <font>
        <strike val="0"/>
        <outline val="0"/>
        <shadow val="0"/>
        <vertAlign val="baseline"/>
        <name val="Calibri"/>
        <family val="2"/>
        <scheme val="minor"/>
      </font>
    </dxf>
    <dxf>
      <font>
        <strike val="0"/>
        <outline val="0"/>
        <shadow val="0"/>
        <vertAlign val="baseline"/>
        <name val="Calibri"/>
        <family val="2"/>
        <scheme val="minor"/>
      </font>
    </dxf>
    <dxf>
      <font>
        <strike val="0"/>
        <outline val="0"/>
        <shadow val="0"/>
        <vertAlign val="baseline"/>
        <name val="Calibri"/>
        <family val="2"/>
        <scheme val="minor"/>
      </font>
    </dxf>
    <dxf>
      <font>
        <strike val="0"/>
        <outline val="0"/>
        <shadow val="0"/>
        <vertAlign val="baseline"/>
        <name val="Calibri"/>
        <family val="2"/>
        <scheme val="minor"/>
      </font>
    </dxf>
    <dxf>
      <numFmt numFmtId="0" formatCode="General"/>
      <alignment horizontal="center" vertical="bottom" textRotation="0" wrapText="0" indent="0" justifyLastLine="0" shrinkToFit="0" readingOrder="0"/>
    </dxf>
    <dxf>
      <font>
        <strike val="0"/>
        <outline val="0"/>
        <shadow val="0"/>
        <vertAlign val="baseline"/>
        <name val="Calibri"/>
        <family val="2"/>
        <scheme val="minor"/>
      </font>
    </dxf>
    <dxf>
      <font>
        <strike val="0"/>
        <outline val="0"/>
        <shadow val="0"/>
        <vertAlign val="baseline"/>
        <name val="Calibri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18" Type="http://schemas.microsoft.com/office/2017/06/relationships/rdRichValue" Target="richData/rdrichvalue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eetMetadata" Target="metadata.xml"/><Relationship Id="rId25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20" Type="http://schemas.microsoft.com/office/2017/06/relationships/rdRichValueTypes" Target="richData/rdRichValueTyp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23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microsoft.com/office/2017/06/relationships/rdRichValueStructure" Target="richData/rdrichvaluestructure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Relationship Id="rId22" Type="http://schemas.openxmlformats.org/officeDocument/2006/relationships/customXml" Target="../customXml/item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Cash Balance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Calculations!$E$99</c:f>
              <c:strCache>
                <c:ptCount val="1"/>
                <c:pt idx="0">
                  <c:v>Cash</c:v>
                </c:pt>
              </c:strCache>
            </c:strRef>
          </c:tx>
          <c:spPr>
            <a:ln w="31750" cap="rnd">
              <a:solidFill>
                <a:schemeClr val="accent1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cat>
            <c:numRef>
              <c:f>Calculations!$I$6:$BP$6</c:f>
              <c:numCache>
                <c:formatCode>[$-409]mmm\-yy;@</c:formatCode>
                <c:ptCount val="60"/>
                <c:pt idx="0">
                  <c:v>46418</c:v>
                </c:pt>
                <c:pt idx="1">
                  <c:v>46446</c:v>
                </c:pt>
                <c:pt idx="2">
                  <c:v>46477</c:v>
                </c:pt>
                <c:pt idx="3">
                  <c:v>46507</c:v>
                </c:pt>
                <c:pt idx="4">
                  <c:v>46538</c:v>
                </c:pt>
                <c:pt idx="5">
                  <c:v>46568</c:v>
                </c:pt>
                <c:pt idx="6">
                  <c:v>46599</c:v>
                </c:pt>
                <c:pt idx="7">
                  <c:v>46630</c:v>
                </c:pt>
                <c:pt idx="8">
                  <c:v>46660</c:v>
                </c:pt>
                <c:pt idx="9">
                  <c:v>46691</c:v>
                </c:pt>
                <c:pt idx="10">
                  <c:v>46721</c:v>
                </c:pt>
                <c:pt idx="11">
                  <c:v>46752</c:v>
                </c:pt>
                <c:pt idx="12">
                  <c:v>46783</c:v>
                </c:pt>
                <c:pt idx="13">
                  <c:v>46812</c:v>
                </c:pt>
                <c:pt idx="14">
                  <c:v>46843</c:v>
                </c:pt>
                <c:pt idx="15">
                  <c:v>46873</c:v>
                </c:pt>
                <c:pt idx="16">
                  <c:v>46904</c:v>
                </c:pt>
                <c:pt idx="17">
                  <c:v>46934</c:v>
                </c:pt>
                <c:pt idx="18">
                  <c:v>46965</c:v>
                </c:pt>
                <c:pt idx="19">
                  <c:v>46996</c:v>
                </c:pt>
                <c:pt idx="20">
                  <c:v>47026</c:v>
                </c:pt>
                <c:pt idx="21">
                  <c:v>47057</c:v>
                </c:pt>
                <c:pt idx="22">
                  <c:v>47087</c:v>
                </c:pt>
                <c:pt idx="23">
                  <c:v>47118</c:v>
                </c:pt>
                <c:pt idx="24">
                  <c:v>47149</c:v>
                </c:pt>
                <c:pt idx="25">
                  <c:v>47177</c:v>
                </c:pt>
                <c:pt idx="26">
                  <c:v>47208</c:v>
                </c:pt>
                <c:pt idx="27">
                  <c:v>47238</c:v>
                </c:pt>
                <c:pt idx="28">
                  <c:v>47269</c:v>
                </c:pt>
                <c:pt idx="29">
                  <c:v>47299</c:v>
                </c:pt>
                <c:pt idx="30">
                  <c:v>47330</c:v>
                </c:pt>
                <c:pt idx="31">
                  <c:v>47361</c:v>
                </c:pt>
                <c:pt idx="32">
                  <c:v>47391</c:v>
                </c:pt>
                <c:pt idx="33">
                  <c:v>47422</c:v>
                </c:pt>
                <c:pt idx="34">
                  <c:v>47452</c:v>
                </c:pt>
                <c:pt idx="35">
                  <c:v>47483</c:v>
                </c:pt>
                <c:pt idx="36">
                  <c:v>47514</c:v>
                </c:pt>
                <c:pt idx="37">
                  <c:v>47542</c:v>
                </c:pt>
                <c:pt idx="38">
                  <c:v>47573</c:v>
                </c:pt>
                <c:pt idx="39">
                  <c:v>47603</c:v>
                </c:pt>
                <c:pt idx="40">
                  <c:v>47634</c:v>
                </c:pt>
                <c:pt idx="41">
                  <c:v>47664</c:v>
                </c:pt>
                <c:pt idx="42">
                  <c:v>47695</c:v>
                </c:pt>
                <c:pt idx="43">
                  <c:v>47726</c:v>
                </c:pt>
                <c:pt idx="44">
                  <c:v>47756</c:v>
                </c:pt>
                <c:pt idx="45">
                  <c:v>47787</c:v>
                </c:pt>
                <c:pt idx="46">
                  <c:v>47817</c:v>
                </c:pt>
                <c:pt idx="47">
                  <c:v>47848</c:v>
                </c:pt>
                <c:pt idx="48">
                  <c:v>47879</c:v>
                </c:pt>
                <c:pt idx="49">
                  <c:v>47907</c:v>
                </c:pt>
                <c:pt idx="50">
                  <c:v>47938</c:v>
                </c:pt>
                <c:pt idx="51">
                  <c:v>47968</c:v>
                </c:pt>
                <c:pt idx="52">
                  <c:v>47999</c:v>
                </c:pt>
                <c:pt idx="53">
                  <c:v>48029</c:v>
                </c:pt>
                <c:pt idx="54">
                  <c:v>48060</c:v>
                </c:pt>
                <c:pt idx="55">
                  <c:v>48091</c:v>
                </c:pt>
                <c:pt idx="56">
                  <c:v>48121</c:v>
                </c:pt>
                <c:pt idx="57">
                  <c:v>48152</c:v>
                </c:pt>
                <c:pt idx="58">
                  <c:v>48182</c:v>
                </c:pt>
                <c:pt idx="59">
                  <c:v>48213</c:v>
                </c:pt>
              </c:numCache>
            </c:numRef>
          </c:cat>
          <c:val>
            <c:numRef>
              <c:f>Calculations!$I$99:$BP$99</c:f>
              <c:numCache>
                <c:formatCode>"$"#,##0</c:formatCode>
                <c:ptCount val="60"/>
                <c:pt idx="0">
                  <c:v>979535.20305749995</c:v>
                </c:pt>
                <c:pt idx="1">
                  <c:v>947345.49941600102</c:v>
                </c:pt>
                <c:pt idx="2">
                  <c:v>1869625.2421848532</c:v>
                </c:pt>
                <c:pt idx="3">
                  <c:v>1744986.8916435603</c:v>
                </c:pt>
                <c:pt idx="4">
                  <c:v>1613286.25081788</c:v>
                </c:pt>
                <c:pt idx="5">
                  <c:v>1453512.8063199413</c:v>
                </c:pt>
                <c:pt idx="6">
                  <c:v>1267719.8618894494</c:v>
                </c:pt>
                <c:pt idx="7">
                  <c:v>1086646.8157755749</c:v>
                </c:pt>
                <c:pt idx="8">
                  <c:v>885927.14391978527</c:v>
                </c:pt>
                <c:pt idx="9">
                  <c:v>657844.48563237046</c:v>
                </c:pt>
                <c:pt idx="10">
                  <c:v>408425.03375354927</c:v>
                </c:pt>
                <c:pt idx="11">
                  <c:v>138214.84378945606</c:v>
                </c:pt>
                <c:pt idx="12">
                  <c:v>-143664.49988998048</c:v>
                </c:pt>
                <c:pt idx="13">
                  <c:v>-448201.42535247601</c:v>
                </c:pt>
                <c:pt idx="14">
                  <c:v>-767631.72373476904</c:v>
                </c:pt>
                <c:pt idx="15">
                  <c:v>-1090583.011887264</c:v>
                </c:pt>
                <c:pt idx="16">
                  <c:v>-1424972.8423150317</c:v>
                </c:pt>
                <c:pt idx="17">
                  <c:v>-1760350.2129099215</c:v>
                </c:pt>
                <c:pt idx="18">
                  <c:v>-2081229.0023019272</c:v>
                </c:pt>
                <c:pt idx="19">
                  <c:v>-2379025.8068156373</c:v>
                </c:pt>
                <c:pt idx="20">
                  <c:v>-2667137.4601175659</c:v>
                </c:pt>
                <c:pt idx="21">
                  <c:v>-2898378.1994281858</c:v>
                </c:pt>
                <c:pt idx="22">
                  <c:v>-3055093.8360637748</c:v>
                </c:pt>
                <c:pt idx="23">
                  <c:v>-3125649.2553097461</c:v>
                </c:pt>
                <c:pt idx="24">
                  <c:v>-2751593.2351519712</c:v>
                </c:pt>
                <c:pt idx="25">
                  <c:v>-2214862.5204730509</c:v>
                </c:pt>
                <c:pt idx="26">
                  <c:v>-1539471.7048223873</c:v>
                </c:pt>
                <c:pt idx="27">
                  <c:v>-718075.8616503441</c:v>
                </c:pt>
                <c:pt idx="28">
                  <c:v>228269.49605840479</c:v>
                </c:pt>
                <c:pt idx="29">
                  <c:v>1237887.6751243593</c:v>
                </c:pt>
                <c:pt idx="30">
                  <c:v>2111126.9984809873</c:v>
                </c:pt>
                <c:pt idx="31">
                  <c:v>3112813.5375753837</c:v>
                </c:pt>
                <c:pt idx="32">
                  <c:v>4238468.5030023269</c:v>
                </c:pt>
                <c:pt idx="33">
                  <c:v>5530024.9688231396</c:v>
                </c:pt>
                <c:pt idx="34">
                  <c:v>6985588.2115151845</c:v>
                </c:pt>
                <c:pt idx="35">
                  <c:v>8631595.0602986235</c:v>
                </c:pt>
                <c:pt idx="36">
                  <c:v>10517817.879977128</c:v>
                </c:pt>
                <c:pt idx="37">
                  <c:v>12655092.648717385</c:v>
                </c:pt>
                <c:pt idx="38">
                  <c:v>15069204.119814333</c:v>
                </c:pt>
                <c:pt idx="39">
                  <c:v>17817986.176222559</c:v>
                </c:pt>
                <c:pt idx="40">
                  <c:v>20901821.612084109</c:v>
                </c:pt>
                <c:pt idx="41">
                  <c:v>24354020.039578639</c:v>
                </c:pt>
                <c:pt idx="42">
                  <c:v>28211189.809138142</c:v>
                </c:pt>
                <c:pt idx="43">
                  <c:v>32513575.811064314</c:v>
                </c:pt>
                <c:pt idx="44">
                  <c:v>37305393.693583578</c:v>
                </c:pt>
                <c:pt idx="45">
                  <c:v>42635156.419548243</c:v>
                </c:pt>
                <c:pt idx="46">
                  <c:v>48556341.261289097</c:v>
                </c:pt>
                <c:pt idx="47">
                  <c:v>55127623.993740827</c:v>
                </c:pt>
                <c:pt idx="48">
                  <c:v>63760264.637086414</c:v>
                </c:pt>
                <c:pt idx="49">
                  <c:v>73081515.795539424</c:v>
                </c:pt>
                <c:pt idx="50">
                  <c:v>83654448.135473803</c:v>
                </c:pt>
                <c:pt idx="51">
                  <c:v>95612633.600716621</c:v>
                </c:pt>
                <c:pt idx="52">
                  <c:v>108822823.8169633</c:v>
                </c:pt>
                <c:pt idx="53">
                  <c:v>123408974.21608087</c:v>
                </c:pt>
                <c:pt idx="54">
                  <c:v>139507423.72885248</c:v>
                </c:pt>
                <c:pt idx="55">
                  <c:v>157268097.58174989</c:v>
                </c:pt>
                <c:pt idx="56">
                  <c:v>176855688.58488744</c:v>
                </c:pt>
                <c:pt idx="57">
                  <c:v>198451155.13606879</c:v>
                </c:pt>
                <c:pt idx="58">
                  <c:v>222253484.3672694</c:v>
                </c:pt>
                <c:pt idx="59">
                  <c:v>248481278.8605454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B92-4FDE-95D4-054488E82A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08862168"/>
        <c:axId val="680801216"/>
      </c:lineChart>
      <c:dateAx>
        <c:axId val="908862168"/>
        <c:scaling>
          <c:orientation val="minMax"/>
        </c:scaling>
        <c:delete val="0"/>
        <c:axPos val="b"/>
        <c:numFmt formatCode="[$-409]mmm\-yy;@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80801216"/>
        <c:crosses val="autoZero"/>
        <c:auto val="1"/>
        <c:lblOffset val="100"/>
        <c:baseTimeUnit val="months"/>
      </c:dateAx>
      <c:valAx>
        <c:axId val="6808012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$&quot;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0886216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2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Sales &amp; Net Income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Calculations!$C$92</c:f>
              <c:strCache>
                <c:ptCount val="1"/>
                <c:pt idx="0">
                  <c:v>NPAT</c:v>
                </c:pt>
              </c:strCache>
            </c:strRef>
          </c:tx>
          <c:spPr>
            <a:ln w="31750" cap="rnd">
              <a:solidFill>
                <a:schemeClr val="accent1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cat>
            <c:numRef>
              <c:f>Calculations!$I$6:$BP$6</c:f>
              <c:numCache>
                <c:formatCode>[$-409]mmm\-yy;@</c:formatCode>
                <c:ptCount val="60"/>
                <c:pt idx="0">
                  <c:v>46418</c:v>
                </c:pt>
                <c:pt idx="1">
                  <c:v>46446</c:v>
                </c:pt>
                <c:pt idx="2">
                  <c:v>46477</c:v>
                </c:pt>
                <c:pt idx="3">
                  <c:v>46507</c:v>
                </c:pt>
                <c:pt idx="4">
                  <c:v>46538</c:v>
                </c:pt>
                <c:pt idx="5">
                  <c:v>46568</c:v>
                </c:pt>
                <c:pt idx="6">
                  <c:v>46599</c:v>
                </c:pt>
                <c:pt idx="7">
                  <c:v>46630</c:v>
                </c:pt>
                <c:pt idx="8">
                  <c:v>46660</c:v>
                </c:pt>
                <c:pt idx="9">
                  <c:v>46691</c:v>
                </c:pt>
                <c:pt idx="10">
                  <c:v>46721</c:v>
                </c:pt>
                <c:pt idx="11">
                  <c:v>46752</c:v>
                </c:pt>
                <c:pt idx="12">
                  <c:v>46783</c:v>
                </c:pt>
                <c:pt idx="13">
                  <c:v>46812</c:v>
                </c:pt>
                <c:pt idx="14">
                  <c:v>46843</c:v>
                </c:pt>
                <c:pt idx="15">
                  <c:v>46873</c:v>
                </c:pt>
                <c:pt idx="16">
                  <c:v>46904</c:v>
                </c:pt>
                <c:pt idx="17">
                  <c:v>46934</c:v>
                </c:pt>
                <c:pt idx="18">
                  <c:v>46965</c:v>
                </c:pt>
                <c:pt idx="19">
                  <c:v>46996</c:v>
                </c:pt>
                <c:pt idx="20">
                  <c:v>47026</c:v>
                </c:pt>
                <c:pt idx="21">
                  <c:v>47057</c:v>
                </c:pt>
                <c:pt idx="22">
                  <c:v>47087</c:v>
                </c:pt>
                <c:pt idx="23">
                  <c:v>47118</c:v>
                </c:pt>
                <c:pt idx="24">
                  <c:v>47149</c:v>
                </c:pt>
                <c:pt idx="25">
                  <c:v>47177</c:v>
                </c:pt>
                <c:pt idx="26">
                  <c:v>47208</c:v>
                </c:pt>
                <c:pt idx="27">
                  <c:v>47238</c:v>
                </c:pt>
                <c:pt idx="28">
                  <c:v>47269</c:v>
                </c:pt>
                <c:pt idx="29">
                  <c:v>47299</c:v>
                </c:pt>
                <c:pt idx="30">
                  <c:v>47330</c:v>
                </c:pt>
                <c:pt idx="31">
                  <c:v>47361</c:v>
                </c:pt>
                <c:pt idx="32">
                  <c:v>47391</c:v>
                </c:pt>
                <c:pt idx="33">
                  <c:v>47422</c:v>
                </c:pt>
                <c:pt idx="34">
                  <c:v>47452</c:v>
                </c:pt>
                <c:pt idx="35">
                  <c:v>47483</c:v>
                </c:pt>
                <c:pt idx="36">
                  <c:v>47514</c:v>
                </c:pt>
                <c:pt idx="37">
                  <c:v>47542</c:v>
                </c:pt>
                <c:pt idx="38">
                  <c:v>47573</c:v>
                </c:pt>
                <c:pt idx="39">
                  <c:v>47603</c:v>
                </c:pt>
                <c:pt idx="40">
                  <c:v>47634</c:v>
                </c:pt>
                <c:pt idx="41">
                  <c:v>47664</c:v>
                </c:pt>
                <c:pt idx="42">
                  <c:v>47695</c:v>
                </c:pt>
                <c:pt idx="43">
                  <c:v>47726</c:v>
                </c:pt>
                <c:pt idx="44">
                  <c:v>47756</c:v>
                </c:pt>
                <c:pt idx="45">
                  <c:v>47787</c:v>
                </c:pt>
                <c:pt idx="46">
                  <c:v>47817</c:v>
                </c:pt>
                <c:pt idx="47">
                  <c:v>47848</c:v>
                </c:pt>
                <c:pt idx="48">
                  <c:v>47879</c:v>
                </c:pt>
                <c:pt idx="49">
                  <c:v>47907</c:v>
                </c:pt>
                <c:pt idx="50">
                  <c:v>47938</c:v>
                </c:pt>
                <c:pt idx="51">
                  <c:v>47968</c:v>
                </c:pt>
                <c:pt idx="52">
                  <c:v>47999</c:v>
                </c:pt>
                <c:pt idx="53">
                  <c:v>48029</c:v>
                </c:pt>
                <c:pt idx="54">
                  <c:v>48060</c:v>
                </c:pt>
                <c:pt idx="55">
                  <c:v>48091</c:v>
                </c:pt>
                <c:pt idx="56">
                  <c:v>48121</c:v>
                </c:pt>
                <c:pt idx="57">
                  <c:v>48152</c:v>
                </c:pt>
                <c:pt idx="58">
                  <c:v>48182</c:v>
                </c:pt>
                <c:pt idx="59">
                  <c:v>48213</c:v>
                </c:pt>
              </c:numCache>
            </c:numRef>
          </c:cat>
          <c:val>
            <c:numRef>
              <c:f>Calculations!$I$92:$BP$92</c:f>
              <c:numCache>
                <c:formatCode>"$"#,##0</c:formatCode>
                <c:ptCount val="60"/>
                <c:pt idx="0">
                  <c:v>-19661.657609166668</c:v>
                </c:pt>
                <c:pt idx="1">
                  <c:v>-31120.237641498959</c:v>
                </c:pt>
                <c:pt idx="2">
                  <c:v>-72254.373231147765</c:v>
                </c:pt>
                <c:pt idx="3">
                  <c:v>-96537.570103294041</c:v>
                </c:pt>
                <c:pt idx="4">
                  <c:v>-104885.98676085637</c:v>
                </c:pt>
                <c:pt idx="5">
                  <c:v>-130361.11748284487</c:v>
                </c:pt>
                <c:pt idx="6">
                  <c:v>-156429.48460839072</c:v>
                </c:pt>
                <c:pt idx="7">
                  <c:v>-154509.08842029222</c:v>
                </c:pt>
                <c:pt idx="8">
                  <c:v>-171143.47201070641</c:v>
                </c:pt>
                <c:pt idx="9">
                  <c:v>-197013.6514540881</c:v>
                </c:pt>
                <c:pt idx="10">
                  <c:v>-217204.56465591124</c:v>
                </c:pt>
                <c:pt idx="11">
                  <c:v>-236843.75104442114</c:v>
                </c:pt>
                <c:pt idx="12">
                  <c:v>-248882.60250871026</c:v>
                </c:pt>
                <c:pt idx="13">
                  <c:v>-267696.95089800231</c:v>
                </c:pt>
                <c:pt idx="14">
                  <c:v>-279542.19468489231</c:v>
                </c:pt>
                <c:pt idx="15">
                  <c:v>-280650.90031191061</c:v>
                </c:pt>
                <c:pt idx="16">
                  <c:v>-286192.40015451418</c:v>
                </c:pt>
                <c:pt idx="17">
                  <c:v>-280749.50831216446</c:v>
                </c:pt>
                <c:pt idx="18">
                  <c:v>-259339.55822754651</c:v>
                </c:pt>
                <c:pt idx="19">
                  <c:v>-225484.66295828784</c:v>
                </c:pt>
                <c:pt idx="20">
                  <c:v>-198402.82853447035</c:v>
                </c:pt>
                <c:pt idx="21">
                  <c:v>-127453.37785663003</c:v>
                </c:pt>
                <c:pt idx="22">
                  <c:v>-29186.827025541294</c:v>
                </c:pt>
                <c:pt idx="23">
                  <c:v>89863.565326340482</c:v>
                </c:pt>
                <c:pt idx="24">
                  <c:v>622794.97917691607</c:v>
                </c:pt>
                <c:pt idx="25">
                  <c:v>715379.00564953021</c:v>
                </c:pt>
                <c:pt idx="26">
                  <c:v>824255.56210587313</c:v>
                </c:pt>
                <c:pt idx="27">
                  <c:v>952937.19734859373</c:v>
                </c:pt>
                <c:pt idx="28">
                  <c:v>1022694.9231885794</c:v>
                </c:pt>
                <c:pt idx="29">
                  <c:v>862751.25460012397</c:v>
                </c:pt>
                <c:pt idx="30">
                  <c:v>986442.29901026271</c:v>
                </c:pt>
                <c:pt idx="31">
                  <c:v>1123272.238328689</c:v>
                </c:pt>
                <c:pt idx="32">
                  <c:v>1263396.947053914</c:v>
                </c:pt>
                <c:pt idx="33">
                  <c:v>1431639.1634239536</c:v>
                </c:pt>
                <c:pt idx="34">
                  <c:v>1610724.1247360776</c:v>
                </c:pt>
                <c:pt idx="35">
                  <c:v>1812119.8505735151</c:v>
                </c:pt>
                <c:pt idx="36">
                  <c:v>2054034.1411999203</c:v>
                </c:pt>
                <c:pt idx="37">
                  <c:v>2320667.3515349012</c:v>
                </c:pt>
                <c:pt idx="38">
                  <c:v>2613813.9274700377</c:v>
                </c:pt>
                <c:pt idx="39">
                  <c:v>2936067.875060102</c:v>
                </c:pt>
                <c:pt idx="40">
                  <c:v>3290327.9449544484</c:v>
                </c:pt>
                <c:pt idx="41">
                  <c:v>3679771.1500658374</c:v>
                </c:pt>
                <c:pt idx="42">
                  <c:v>4107828.1777114021</c:v>
                </c:pt>
                <c:pt idx="43">
                  <c:v>4578372.4413284082</c:v>
                </c:pt>
                <c:pt idx="44">
                  <c:v>5095796.7154953405</c:v>
                </c:pt>
                <c:pt idx="45">
                  <c:v>5664372.1428238703</c:v>
                </c:pt>
                <c:pt idx="46">
                  <c:v>6289360.0067324247</c:v>
                </c:pt>
                <c:pt idx="47">
                  <c:v>6976444.5067359358</c:v>
                </c:pt>
                <c:pt idx="48">
                  <c:v>9377258.6058293562</c:v>
                </c:pt>
                <c:pt idx="49">
                  <c:v>10372773.875732582</c:v>
                </c:pt>
                <c:pt idx="50">
                  <c:v>11467002.97174051</c:v>
                </c:pt>
                <c:pt idx="51">
                  <c:v>12670167.380925456</c:v>
                </c:pt>
                <c:pt idx="52">
                  <c:v>13992901.655783642</c:v>
                </c:pt>
                <c:pt idx="53">
                  <c:v>15446771.103584062</c:v>
                </c:pt>
                <c:pt idx="54">
                  <c:v>17044570.970548682</c:v>
                </c:pt>
                <c:pt idx="55">
                  <c:v>18800690.601792794</c:v>
                </c:pt>
                <c:pt idx="56">
                  <c:v>20730897.116867453</c:v>
                </c:pt>
                <c:pt idx="57">
                  <c:v>22852188.64888718</c:v>
                </c:pt>
                <c:pt idx="58">
                  <c:v>25183683.598106585</c:v>
                </c:pt>
                <c:pt idx="59">
                  <c:v>27746128.20392517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16E-4C7A-AEA4-5323824279DD}"/>
            </c:ext>
          </c:extLst>
        </c:ser>
        <c:ser>
          <c:idx val="1"/>
          <c:order val="1"/>
          <c:tx>
            <c:strRef>
              <c:f>Calculations!$C$79</c:f>
              <c:strCache>
                <c:ptCount val="1"/>
                <c:pt idx="0">
                  <c:v>EBITDA</c:v>
                </c:pt>
              </c:strCache>
            </c:strRef>
          </c:tx>
          <c:spPr>
            <a:ln w="31750" cap="rnd">
              <a:solidFill>
                <a:schemeClr val="accent2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cat>
            <c:numRef>
              <c:f>Calculations!$I$6:$BP$6</c:f>
              <c:numCache>
                <c:formatCode>[$-409]mmm\-yy;@</c:formatCode>
                <c:ptCount val="60"/>
                <c:pt idx="0">
                  <c:v>46418</c:v>
                </c:pt>
                <c:pt idx="1">
                  <c:v>46446</c:v>
                </c:pt>
                <c:pt idx="2">
                  <c:v>46477</c:v>
                </c:pt>
                <c:pt idx="3">
                  <c:v>46507</c:v>
                </c:pt>
                <c:pt idx="4">
                  <c:v>46538</c:v>
                </c:pt>
                <c:pt idx="5">
                  <c:v>46568</c:v>
                </c:pt>
                <c:pt idx="6">
                  <c:v>46599</c:v>
                </c:pt>
                <c:pt idx="7">
                  <c:v>46630</c:v>
                </c:pt>
                <c:pt idx="8">
                  <c:v>46660</c:v>
                </c:pt>
                <c:pt idx="9">
                  <c:v>46691</c:v>
                </c:pt>
                <c:pt idx="10">
                  <c:v>46721</c:v>
                </c:pt>
                <c:pt idx="11">
                  <c:v>46752</c:v>
                </c:pt>
                <c:pt idx="12">
                  <c:v>46783</c:v>
                </c:pt>
                <c:pt idx="13">
                  <c:v>46812</c:v>
                </c:pt>
                <c:pt idx="14">
                  <c:v>46843</c:v>
                </c:pt>
                <c:pt idx="15">
                  <c:v>46873</c:v>
                </c:pt>
                <c:pt idx="16">
                  <c:v>46904</c:v>
                </c:pt>
                <c:pt idx="17">
                  <c:v>46934</c:v>
                </c:pt>
                <c:pt idx="18">
                  <c:v>46965</c:v>
                </c:pt>
                <c:pt idx="19">
                  <c:v>46996</c:v>
                </c:pt>
                <c:pt idx="20">
                  <c:v>47026</c:v>
                </c:pt>
                <c:pt idx="21">
                  <c:v>47057</c:v>
                </c:pt>
                <c:pt idx="22">
                  <c:v>47087</c:v>
                </c:pt>
                <c:pt idx="23">
                  <c:v>47118</c:v>
                </c:pt>
                <c:pt idx="24">
                  <c:v>47149</c:v>
                </c:pt>
                <c:pt idx="25">
                  <c:v>47177</c:v>
                </c:pt>
                <c:pt idx="26">
                  <c:v>47208</c:v>
                </c:pt>
                <c:pt idx="27">
                  <c:v>47238</c:v>
                </c:pt>
                <c:pt idx="28">
                  <c:v>47269</c:v>
                </c:pt>
                <c:pt idx="29">
                  <c:v>47299</c:v>
                </c:pt>
                <c:pt idx="30">
                  <c:v>47330</c:v>
                </c:pt>
                <c:pt idx="31">
                  <c:v>47361</c:v>
                </c:pt>
                <c:pt idx="32">
                  <c:v>47391</c:v>
                </c:pt>
                <c:pt idx="33">
                  <c:v>47422</c:v>
                </c:pt>
                <c:pt idx="34">
                  <c:v>47452</c:v>
                </c:pt>
                <c:pt idx="35">
                  <c:v>47483</c:v>
                </c:pt>
                <c:pt idx="36">
                  <c:v>47514</c:v>
                </c:pt>
                <c:pt idx="37">
                  <c:v>47542</c:v>
                </c:pt>
                <c:pt idx="38">
                  <c:v>47573</c:v>
                </c:pt>
                <c:pt idx="39">
                  <c:v>47603</c:v>
                </c:pt>
                <c:pt idx="40">
                  <c:v>47634</c:v>
                </c:pt>
                <c:pt idx="41">
                  <c:v>47664</c:v>
                </c:pt>
                <c:pt idx="42">
                  <c:v>47695</c:v>
                </c:pt>
                <c:pt idx="43">
                  <c:v>47726</c:v>
                </c:pt>
                <c:pt idx="44">
                  <c:v>47756</c:v>
                </c:pt>
                <c:pt idx="45">
                  <c:v>47787</c:v>
                </c:pt>
                <c:pt idx="46">
                  <c:v>47817</c:v>
                </c:pt>
                <c:pt idx="47">
                  <c:v>47848</c:v>
                </c:pt>
                <c:pt idx="48">
                  <c:v>47879</c:v>
                </c:pt>
                <c:pt idx="49">
                  <c:v>47907</c:v>
                </c:pt>
                <c:pt idx="50">
                  <c:v>47938</c:v>
                </c:pt>
                <c:pt idx="51">
                  <c:v>47968</c:v>
                </c:pt>
                <c:pt idx="52">
                  <c:v>47999</c:v>
                </c:pt>
                <c:pt idx="53">
                  <c:v>48029</c:v>
                </c:pt>
                <c:pt idx="54">
                  <c:v>48060</c:v>
                </c:pt>
                <c:pt idx="55">
                  <c:v>48091</c:v>
                </c:pt>
                <c:pt idx="56">
                  <c:v>48121</c:v>
                </c:pt>
                <c:pt idx="57">
                  <c:v>48152</c:v>
                </c:pt>
                <c:pt idx="58">
                  <c:v>48182</c:v>
                </c:pt>
                <c:pt idx="59">
                  <c:v>48213</c:v>
                </c:pt>
              </c:numCache>
            </c:numRef>
          </c:cat>
          <c:val>
            <c:numRef>
              <c:f>Calculations!$I$79:$BP$79</c:f>
              <c:numCache>
                <c:formatCode>"$"#,##0</c:formatCode>
                <c:ptCount val="60"/>
                <c:pt idx="0">
                  <c:v>-22368.66</c:v>
                </c:pt>
                <c:pt idx="1">
                  <c:v>-33701.18</c:v>
                </c:pt>
                <c:pt idx="2">
                  <c:v>-75731.473333333328</c:v>
                </c:pt>
                <c:pt idx="3">
                  <c:v>-96801.200000000012</c:v>
                </c:pt>
                <c:pt idx="4">
                  <c:v>-104800.51999999999</c:v>
                </c:pt>
                <c:pt idx="5">
                  <c:v>-129709.17333333334</c:v>
                </c:pt>
                <c:pt idx="6">
                  <c:v>-155132.73333333334</c:v>
                </c:pt>
                <c:pt idx="7">
                  <c:v>-152786.97333333333</c:v>
                </c:pt>
                <c:pt idx="8">
                  <c:v>-168808.03999999998</c:v>
                </c:pt>
                <c:pt idx="9">
                  <c:v>-193913.57333333333</c:v>
                </c:pt>
                <c:pt idx="10">
                  <c:v>-213269.37333333332</c:v>
                </c:pt>
                <c:pt idx="11">
                  <c:v>-232012.56</c:v>
                </c:pt>
                <c:pt idx="12">
                  <c:v>-243191.94666666666</c:v>
                </c:pt>
                <c:pt idx="13">
                  <c:v>-261013.96000000002</c:v>
                </c:pt>
                <c:pt idx="14">
                  <c:v>-271812.66666666663</c:v>
                </c:pt>
                <c:pt idx="15">
                  <c:v>-271931.81333333335</c:v>
                </c:pt>
                <c:pt idx="16">
                  <c:v>-276379.10666666669</c:v>
                </c:pt>
                <c:pt idx="17">
                  <c:v>-269824.37333333329</c:v>
                </c:pt>
                <c:pt idx="18">
                  <c:v>-247406.07999999996</c:v>
                </c:pt>
                <c:pt idx="19">
                  <c:v>-212598.02666666667</c:v>
                </c:pt>
                <c:pt idx="20">
                  <c:v>-184361.24</c:v>
                </c:pt>
                <c:pt idx="21">
                  <c:v>-112604.22666666674</c:v>
                </c:pt>
                <c:pt idx="22">
                  <c:v>-13721.93333333332</c:v>
                </c:pt>
                <c:pt idx="23">
                  <c:v>105876.38666666666</c:v>
                </c:pt>
                <c:pt idx="24">
                  <c:v>638274.00000000012</c:v>
                </c:pt>
                <c:pt idx="25">
                  <c:v>729581.06666666665</c:v>
                </c:pt>
                <c:pt idx="26">
                  <c:v>836424.70000000007</c:v>
                </c:pt>
                <c:pt idx="27">
                  <c:v>962766.73333333316</c:v>
                </c:pt>
                <c:pt idx="28">
                  <c:v>1097017.4666666668</c:v>
                </c:pt>
                <c:pt idx="29">
                  <c:v>1236920.7333333332</c:v>
                </c:pt>
                <c:pt idx="30">
                  <c:v>1410677.2666666666</c:v>
                </c:pt>
                <c:pt idx="31">
                  <c:v>1603464.6999999997</c:v>
                </c:pt>
                <c:pt idx="32">
                  <c:v>1800590.8666666667</c:v>
                </c:pt>
                <c:pt idx="33">
                  <c:v>2037212.2999999998</c:v>
                </c:pt>
                <c:pt idx="34">
                  <c:v>2288925.7666666666</c:v>
                </c:pt>
                <c:pt idx="35">
                  <c:v>2571995.0999999996</c:v>
                </c:pt>
                <c:pt idx="36">
                  <c:v>2912153.8</c:v>
                </c:pt>
                <c:pt idx="37">
                  <c:v>3286826</c:v>
                </c:pt>
                <c:pt idx="38">
                  <c:v>3698605.1999999997</c:v>
                </c:pt>
                <c:pt idx="39">
                  <c:v>4151158.6999999993</c:v>
                </c:pt>
                <c:pt idx="40">
                  <c:v>4648500.9999999991</c:v>
                </c:pt>
                <c:pt idx="41">
                  <c:v>5195080.5999999996</c:v>
                </c:pt>
                <c:pt idx="42">
                  <c:v>5795779.9999999991</c:v>
                </c:pt>
                <c:pt idx="43">
                  <c:v>6455937.3999999994</c:v>
                </c:pt>
                <c:pt idx="44">
                  <c:v>7181455.1999999993</c:v>
                </c:pt>
                <c:pt idx="45">
                  <c:v>7978799.9999999991</c:v>
                </c:pt>
                <c:pt idx="46">
                  <c:v>8855089.3999999985</c:v>
                </c:pt>
                <c:pt idx="47">
                  <c:v>9818113.6999999993</c:v>
                </c:pt>
                <c:pt idx="48">
                  <c:v>13225541.359999999</c:v>
                </c:pt>
                <c:pt idx="49">
                  <c:v>14621311.399999999</c:v>
                </c:pt>
                <c:pt idx="50">
                  <c:v>16155275.720000001</c:v>
                </c:pt>
                <c:pt idx="51">
                  <c:v>17841105.32</c:v>
                </c:pt>
                <c:pt idx="52">
                  <c:v>19693825.280000001</c:v>
                </c:pt>
                <c:pt idx="53">
                  <c:v>21729971</c:v>
                </c:pt>
                <c:pt idx="54">
                  <c:v>23967692.359999999</c:v>
                </c:pt>
                <c:pt idx="55">
                  <c:v>26426962.040000003</c:v>
                </c:pt>
                <c:pt idx="56">
                  <c:v>29129679.68</c:v>
                </c:pt>
                <c:pt idx="57">
                  <c:v>32099958.319999997</c:v>
                </c:pt>
                <c:pt idx="58">
                  <c:v>35364306.68</c:v>
                </c:pt>
                <c:pt idx="59">
                  <c:v>38951837.479999997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16E-4C7A-AEA4-5323824279DD}"/>
            </c:ext>
          </c:extLst>
        </c:ser>
        <c:ser>
          <c:idx val="2"/>
          <c:order val="2"/>
          <c:tx>
            <c:strRef>
              <c:f>Calculations!$C$22</c:f>
              <c:strCache>
                <c:ptCount val="1"/>
                <c:pt idx="0">
                  <c:v>Total Revenue</c:v>
                </c:pt>
              </c:strCache>
            </c:strRef>
          </c:tx>
          <c:spPr>
            <a:ln w="31750" cap="rnd">
              <a:solidFill>
                <a:schemeClr val="accent3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cat>
            <c:numRef>
              <c:f>Calculations!$I$6:$BP$6</c:f>
              <c:numCache>
                <c:formatCode>[$-409]mmm\-yy;@</c:formatCode>
                <c:ptCount val="60"/>
                <c:pt idx="0">
                  <c:v>46418</c:v>
                </c:pt>
                <c:pt idx="1">
                  <c:v>46446</c:v>
                </c:pt>
                <c:pt idx="2">
                  <c:v>46477</c:v>
                </c:pt>
                <c:pt idx="3">
                  <c:v>46507</c:v>
                </c:pt>
                <c:pt idx="4">
                  <c:v>46538</c:v>
                </c:pt>
                <c:pt idx="5">
                  <c:v>46568</c:v>
                </c:pt>
                <c:pt idx="6">
                  <c:v>46599</c:v>
                </c:pt>
                <c:pt idx="7">
                  <c:v>46630</c:v>
                </c:pt>
                <c:pt idx="8">
                  <c:v>46660</c:v>
                </c:pt>
                <c:pt idx="9">
                  <c:v>46691</c:v>
                </c:pt>
                <c:pt idx="10">
                  <c:v>46721</c:v>
                </c:pt>
                <c:pt idx="11">
                  <c:v>46752</c:v>
                </c:pt>
                <c:pt idx="12">
                  <c:v>46783</c:v>
                </c:pt>
                <c:pt idx="13">
                  <c:v>46812</c:v>
                </c:pt>
                <c:pt idx="14">
                  <c:v>46843</c:v>
                </c:pt>
                <c:pt idx="15">
                  <c:v>46873</c:v>
                </c:pt>
                <c:pt idx="16">
                  <c:v>46904</c:v>
                </c:pt>
                <c:pt idx="17">
                  <c:v>46934</c:v>
                </c:pt>
                <c:pt idx="18">
                  <c:v>46965</c:v>
                </c:pt>
                <c:pt idx="19">
                  <c:v>46996</c:v>
                </c:pt>
                <c:pt idx="20">
                  <c:v>47026</c:v>
                </c:pt>
                <c:pt idx="21">
                  <c:v>47057</c:v>
                </c:pt>
                <c:pt idx="22">
                  <c:v>47087</c:v>
                </c:pt>
                <c:pt idx="23">
                  <c:v>47118</c:v>
                </c:pt>
                <c:pt idx="24">
                  <c:v>47149</c:v>
                </c:pt>
                <c:pt idx="25">
                  <c:v>47177</c:v>
                </c:pt>
                <c:pt idx="26">
                  <c:v>47208</c:v>
                </c:pt>
                <c:pt idx="27">
                  <c:v>47238</c:v>
                </c:pt>
                <c:pt idx="28">
                  <c:v>47269</c:v>
                </c:pt>
                <c:pt idx="29">
                  <c:v>47299</c:v>
                </c:pt>
                <c:pt idx="30">
                  <c:v>47330</c:v>
                </c:pt>
                <c:pt idx="31">
                  <c:v>47361</c:v>
                </c:pt>
                <c:pt idx="32">
                  <c:v>47391</c:v>
                </c:pt>
                <c:pt idx="33">
                  <c:v>47422</c:v>
                </c:pt>
                <c:pt idx="34">
                  <c:v>47452</c:v>
                </c:pt>
                <c:pt idx="35">
                  <c:v>47483</c:v>
                </c:pt>
                <c:pt idx="36">
                  <c:v>47514</c:v>
                </c:pt>
                <c:pt idx="37">
                  <c:v>47542</c:v>
                </c:pt>
                <c:pt idx="38">
                  <c:v>47573</c:v>
                </c:pt>
                <c:pt idx="39">
                  <c:v>47603</c:v>
                </c:pt>
                <c:pt idx="40">
                  <c:v>47634</c:v>
                </c:pt>
                <c:pt idx="41">
                  <c:v>47664</c:v>
                </c:pt>
                <c:pt idx="42">
                  <c:v>47695</c:v>
                </c:pt>
                <c:pt idx="43">
                  <c:v>47726</c:v>
                </c:pt>
                <c:pt idx="44">
                  <c:v>47756</c:v>
                </c:pt>
                <c:pt idx="45">
                  <c:v>47787</c:v>
                </c:pt>
                <c:pt idx="46">
                  <c:v>47817</c:v>
                </c:pt>
                <c:pt idx="47">
                  <c:v>47848</c:v>
                </c:pt>
                <c:pt idx="48">
                  <c:v>47879</c:v>
                </c:pt>
                <c:pt idx="49">
                  <c:v>47907</c:v>
                </c:pt>
                <c:pt idx="50">
                  <c:v>47938</c:v>
                </c:pt>
                <c:pt idx="51">
                  <c:v>47968</c:v>
                </c:pt>
                <c:pt idx="52">
                  <c:v>47999</c:v>
                </c:pt>
                <c:pt idx="53">
                  <c:v>48029</c:v>
                </c:pt>
                <c:pt idx="54">
                  <c:v>48060</c:v>
                </c:pt>
                <c:pt idx="55">
                  <c:v>48091</c:v>
                </c:pt>
                <c:pt idx="56">
                  <c:v>48121</c:v>
                </c:pt>
                <c:pt idx="57">
                  <c:v>48152</c:v>
                </c:pt>
                <c:pt idx="58">
                  <c:v>48182</c:v>
                </c:pt>
                <c:pt idx="59">
                  <c:v>48213</c:v>
                </c:pt>
              </c:numCache>
            </c:numRef>
          </c:cat>
          <c:val>
            <c:numRef>
              <c:f>Calculations!$I$22:$BP$22</c:f>
              <c:numCache>
                <c:formatCode>"$"#,##0</c:formatCode>
                <c:ptCount val="60"/>
                <c:pt idx="0">
                  <c:v>2580</c:v>
                </c:pt>
                <c:pt idx="1">
                  <c:v>3340</c:v>
                </c:pt>
                <c:pt idx="2">
                  <c:v>4320</c:v>
                </c:pt>
                <c:pt idx="3">
                  <c:v>5600</c:v>
                </c:pt>
                <c:pt idx="4">
                  <c:v>7260</c:v>
                </c:pt>
                <c:pt idx="5">
                  <c:v>9420</c:v>
                </c:pt>
                <c:pt idx="6">
                  <c:v>12200</c:v>
                </c:pt>
                <c:pt idx="7">
                  <c:v>15820</c:v>
                </c:pt>
                <c:pt idx="8">
                  <c:v>20520</c:v>
                </c:pt>
                <c:pt idx="9">
                  <c:v>26620</c:v>
                </c:pt>
                <c:pt idx="10">
                  <c:v>34520</c:v>
                </c:pt>
                <c:pt idx="11">
                  <c:v>44780</c:v>
                </c:pt>
                <c:pt idx="12">
                  <c:v>58140</c:v>
                </c:pt>
                <c:pt idx="13">
                  <c:v>75480</c:v>
                </c:pt>
                <c:pt idx="14">
                  <c:v>98000</c:v>
                </c:pt>
                <c:pt idx="15">
                  <c:v>127240</c:v>
                </c:pt>
                <c:pt idx="16">
                  <c:v>165220</c:v>
                </c:pt>
                <c:pt idx="17">
                  <c:v>214520</c:v>
                </c:pt>
                <c:pt idx="18">
                  <c:v>278540</c:v>
                </c:pt>
                <c:pt idx="19">
                  <c:v>361680</c:v>
                </c:pt>
                <c:pt idx="20">
                  <c:v>469620</c:v>
                </c:pt>
                <c:pt idx="21">
                  <c:v>609780</c:v>
                </c:pt>
                <c:pt idx="22">
                  <c:v>791800</c:v>
                </c:pt>
                <c:pt idx="23">
                  <c:v>1028140</c:v>
                </c:pt>
                <c:pt idx="24">
                  <c:v>1411750</c:v>
                </c:pt>
                <c:pt idx="25">
                  <c:v>1550800</c:v>
                </c:pt>
                <c:pt idx="26">
                  <c:v>1703525</c:v>
                </c:pt>
                <c:pt idx="27">
                  <c:v>1871300</c:v>
                </c:pt>
                <c:pt idx="28">
                  <c:v>2055600</c:v>
                </c:pt>
                <c:pt idx="29">
                  <c:v>2258050</c:v>
                </c:pt>
                <c:pt idx="30">
                  <c:v>2480450</c:v>
                </c:pt>
                <c:pt idx="31">
                  <c:v>2724775</c:v>
                </c:pt>
                <c:pt idx="32">
                  <c:v>2993150</c:v>
                </c:pt>
                <c:pt idx="33">
                  <c:v>3287975</c:v>
                </c:pt>
                <c:pt idx="34">
                  <c:v>3611825</c:v>
                </c:pt>
                <c:pt idx="35">
                  <c:v>3967575</c:v>
                </c:pt>
                <c:pt idx="36">
                  <c:v>4360350</c:v>
                </c:pt>
                <c:pt idx="37">
                  <c:v>4792000</c:v>
                </c:pt>
                <c:pt idx="38">
                  <c:v>5266400</c:v>
                </c:pt>
                <c:pt idx="39">
                  <c:v>5787775</c:v>
                </c:pt>
                <c:pt idx="40">
                  <c:v>6360750</c:v>
                </c:pt>
                <c:pt idx="41">
                  <c:v>6990450</c:v>
                </c:pt>
                <c:pt idx="42">
                  <c:v>7682500</c:v>
                </c:pt>
                <c:pt idx="43">
                  <c:v>8443050</c:v>
                </c:pt>
                <c:pt idx="44">
                  <c:v>9278900</c:v>
                </c:pt>
                <c:pt idx="45">
                  <c:v>10197500</c:v>
                </c:pt>
                <c:pt idx="46">
                  <c:v>11207050</c:v>
                </c:pt>
                <c:pt idx="47">
                  <c:v>12316525</c:v>
                </c:pt>
                <c:pt idx="48">
                  <c:v>16243020</c:v>
                </c:pt>
                <c:pt idx="49">
                  <c:v>17851050</c:v>
                </c:pt>
                <c:pt idx="50">
                  <c:v>19618290</c:v>
                </c:pt>
                <c:pt idx="51">
                  <c:v>21560490</c:v>
                </c:pt>
                <c:pt idx="52">
                  <c:v>23694960</c:v>
                </c:pt>
                <c:pt idx="53">
                  <c:v>26040750</c:v>
                </c:pt>
                <c:pt idx="54">
                  <c:v>28618770</c:v>
                </c:pt>
                <c:pt idx="55">
                  <c:v>31452030</c:v>
                </c:pt>
                <c:pt idx="56">
                  <c:v>34565760</c:v>
                </c:pt>
                <c:pt idx="57">
                  <c:v>37987740</c:v>
                </c:pt>
                <c:pt idx="58">
                  <c:v>41748510</c:v>
                </c:pt>
                <c:pt idx="59">
                  <c:v>45881610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16E-4C7A-AEA4-5323824279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80802000"/>
        <c:axId val="680802392"/>
      </c:lineChart>
      <c:dateAx>
        <c:axId val="680802000"/>
        <c:scaling>
          <c:orientation val="minMax"/>
        </c:scaling>
        <c:delete val="0"/>
        <c:axPos val="b"/>
        <c:numFmt formatCode="[$-409]mmm\-yy;@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80802392"/>
        <c:crosses val="autoZero"/>
        <c:auto val="1"/>
        <c:lblOffset val="100"/>
        <c:baseTimeUnit val="months"/>
      </c:dateAx>
      <c:valAx>
        <c:axId val="6808023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$&quot;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8080200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2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Monthly Net</a:t>
            </a:r>
            <a:r>
              <a:rPr lang="en-US" baseline="0"/>
              <a:t> </a:t>
            </a:r>
            <a:r>
              <a:rPr lang="en-US"/>
              <a:t>Cash Flow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Calculations!$E$99</c:f>
              <c:strCache>
                <c:ptCount val="1"/>
                <c:pt idx="0">
                  <c:v>Cash</c:v>
                </c:pt>
              </c:strCache>
            </c:strRef>
          </c:tx>
          <c:spPr>
            <a:ln w="31750" cap="rnd">
              <a:solidFill>
                <a:schemeClr val="accent1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cat>
            <c:numRef>
              <c:f>Calculations!$I$6:$BP$6</c:f>
              <c:numCache>
                <c:formatCode>[$-409]mmm\-yy;@</c:formatCode>
                <c:ptCount val="60"/>
                <c:pt idx="0">
                  <c:v>46418</c:v>
                </c:pt>
                <c:pt idx="1">
                  <c:v>46446</c:v>
                </c:pt>
                <c:pt idx="2">
                  <c:v>46477</c:v>
                </c:pt>
                <c:pt idx="3">
                  <c:v>46507</c:v>
                </c:pt>
                <c:pt idx="4">
                  <c:v>46538</c:v>
                </c:pt>
                <c:pt idx="5">
                  <c:v>46568</c:v>
                </c:pt>
                <c:pt idx="6">
                  <c:v>46599</c:v>
                </c:pt>
                <c:pt idx="7">
                  <c:v>46630</c:v>
                </c:pt>
                <c:pt idx="8">
                  <c:v>46660</c:v>
                </c:pt>
                <c:pt idx="9">
                  <c:v>46691</c:v>
                </c:pt>
                <c:pt idx="10">
                  <c:v>46721</c:v>
                </c:pt>
                <c:pt idx="11">
                  <c:v>46752</c:v>
                </c:pt>
                <c:pt idx="12">
                  <c:v>46783</c:v>
                </c:pt>
                <c:pt idx="13">
                  <c:v>46812</c:v>
                </c:pt>
                <c:pt idx="14">
                  <c:v>46843</c:v>
                </c:pt>
                <c:pt idx="15">
                  <c:v>46873</c:v>
                </c:pt>
                <c:pt idx="16">
                  <c:v>46904</c:v>
                </c:pt>
                <c:pt idx="17">
                  <c:v>46934</c:v>
                </c:pt>
                <c:pt idx="18">
                  <c:v>46965</c:v>
                </c:pt>
                <c:pt idx="19">
                  <c:v>46996</c:v>
                </c:pt>
                <c:pt idx="20">
                  <c:v>47026</c:v>
                </c:pt>
                <c:pt idx="21">
                  <c:v>47057</c:v>
                </c:pt>
                <c:pt idx="22">
                  <c:v>47087</c:v>
                </c:pt>
                <c:pt idx="23">
                  <c:v>47118</c:v>
                </c:pt>
                <c:pt idx="24">
                  <c:v>47149</c:v>
                </c:pt>
                <c:pt idx="25">
                  <c:v>47177</c:v>
                </c:pt>
                <c:pt idx="26">
                  <c:v>47208</c:v>
                </c:pt>
                <c:pt idx="27">
                  <c:v>47238</c:v>
                </c:pt>
                <c:pt idx="28">
                  <c:v>47269</c:v>
                </c:pt>
                <c:pt idx="29">
                  <c:v>47299</c:v>
                </c:pt>
                <c:pt idx="30">
                  <c:v>47330</c:v>
                </c:pt>
                <c:pt idx="31">
                  <c:v>47361</c:v>
                </c:pt>
                <c:pt idx="32">
                  <c:v>47391</c:v>
                </c:pt>
                <c:pt idx="33">
                  <c:v>47422</c:v>
                </c:pt>
                <c:pt idx="34">
                  <c:v>47452</c:v>
                </c:pt>
                <c:pt idx="35">
                  <c:v>47483</c:v>
                </c:pt>
                <c:pt idx="36">
                  <c:v>47514</c:v>
                </c:pt>
                <c:pt idx="37">
                  <c:v>47542</c:v>
                </c:pt>
                <c:pt idx="38">
                  <c:v>47573</c:v>
                </c:pt>
                <c:pt idx="39">
                  <c:v>47603</c:v>
                </c:pt>
                <c:pt idx="40">
                  <c:v>47634</c:v>
                </c:pt>
                <c:pt idx="41">
                  <c:v>47664</c:v>
                </c:pt>
                <c:pt idx="42">
                  <c:v>47695</c:v>
                </c:pt>
                <c:pt idx="43">
                  <c:v>47726</c:v>
                </c:pt>
                <c:pt idx="44">
                  <c:v>47756</c:v>
                </c:pt>
                <c:pt idx="45">
                  <c:v>47787</c:v>
                </c:pt>
                <c:pt idx="46">
                  <c:v>47817</c:v>
                </c:pt>
                <c:pt idx="47">
                  <c:v>47848</c:v>
                </c:pt>
                <c:pt idx="48">
                  <c:v>47879</c:v>
                </c:pt>
                <c:pt idx="49">
                  <c:v>47907</c:v>
                </c:pt>
                <c:pt idx="50">
                  <c:v>47938</c:v>
                </c:pt>
                <c:pt idx="51">
                  <c:v>47968</c:v>
                </c:pt>
                <c:pt idx="52">
                  <c:v>47999</c:v>
                </c:pt>
                <c:pt idx="53">
                  <c:v>48029</c:v>
                </c:pt>
                <c:pt idx="54">
                  <c:v>48060</c:v>
                </c:pt>
                <c:pt idx="55">
                  <c:v>48091</c:v>
                </c:pt>
                <c:pt idx="56">
                  <c:v>48121</c:v>
                </c:pt>
                <c:pt idx="57">
                  <c:v>48152</c:v>
                </c:pt>
                <c:pt idx="58">
                  <c:v>48182</c:v>
                </c:pt>
                <c:pt idx="59">
                  <c:v>48213</c:v>
                </c:pt>
              </c:numCache>
            </c:numRef>
          </c:cat>
          <c:val>
            <c:numRef>
              <c:f>Calculations!$I$227:$BP$227</c:f>
              <c:numCache>
                <c:formatCode>"$"#,##0</c:formatCode>
                <c:ptCount val="60"/>
                <c:pt idx="0">
                  <c:v>979535.20305749995</c:v>
                </c:pt>
                <c:pt idx="1">
                  <c:v>-32189.70364149896</c:v>
                </c:pt>
                <c:pt idx="2">
                  <c:v>922279.74276885216</c:v>
                </c:pt>
                <c:pt idx="3">
                  <c:v>-124638.35054129285</c:v>
                </c:pt>
                <c:pt idx="4">
                  <c:v>-131700.64082568017</c:v>
                </c:pt>
                <c:pt idx="5">
                  <c:v>-159773.44449793876</c:v>
                </c:pt>
                <c:pt idx="6">
                  <c:v>-185792.94443049197</c:v>
                </c:pt>
                <c:pt idx="7">
                  <c:v>-181073.04611387444</c:v>
                </c:pt>
                <c:pt idx="8">
                  <c:v>-200719.67185578967</c:v>
                </c:pt>
                <c:pt idx="9">
                  <c:v>-228082.65828741476</c:v>
                </c:pt>
                <c:pt idx="10">
                  <c:v>-249419.45187882119</c:v>
                </c:pt>
                <c:pt idx="11">
                  <c:v>-270210.18996409321</c:v>
                </c:pt>
                <c:pt idx="12">
                  <c:v>-281879.34367943654</c:v>
                </c:pt>
                <c:pt idx="13">
                  <c:v>-304536.92546249554</c:v>
                </c:pt>
                <c:pt idx="14">
                  <c:v>-319430.29838229308</c:v>
                </c:pt>
                <c:pt idx="15">
                  <c:v>-322951.28815249499</c:v>
                </c:pt>
                <c:pt idx="16">
                  <c:v>-334389.83042776765</c:v>
                </c:pt>
                <c:pt idx="17">
                  <c:v>-335377.37059488986</c:v>
                </c:pt>
                <c:pt idx="18">
                  <c:v>-320878.78939200554</c:v>
                </c:pt>
                <c:pt idx="19">
                  <c:v>-297796.80451370985</c:v>
                </c:pt>
                <c:pt idx="20">
                  <c:v>-288111.65330192883</c:v>
                </c:pt>
                <c:pt idx="21">
                  <c:v>-231240.73931061965</c:v>
                </c:pt>
                <c:pt idx="22">
                  <c:v>-156715.63663558915</c:v>
                </c:pt>
                <c:pt idx="23">
                  <c:v>-70555.419245971454</c:v>
                </c:pt>
                <c:pt idx="24">
                  <c:v>374056.02015777491</c:v>
                </c:pt>
                <c:pt idx="25">
                  <c:v>536730.71467892046</c:v>
                </c:pt>
                <c:pt idx="26">
                  <c:v>675390.81565066357</c:v>
                </c:pt>
                <c:pt idx="27">
                  <c:v>821395.84317204321</c:v>
                </c:pt>
                <c:pt idx="28">
                  <c:v>946345.3577087489</c:v>
                </c:pt>
                <c:pt idx="29">
                  <c:v>1009618.1790659545</c:v>
                </c:pt>
                <c:pt idx="30">
                  <c:v>873239.32335662807</c:v>
                </c:pt>
                <c:pt idx="31">
                  <c:v>1001686.5390943966</c:v>
                </c:pt>
                <c:pt idx="32">
                  <c:v>1125654.9654269428</c:v>
                </c:pt>
                <c:pt idx="33">
                  <c:v>1291556.4658208126</c:v>
                </c:pt>
                <c:pt idx="34">
                  <c:v>1455563.2426920452</c:v>
                </c:pt>
                <c:pt idx="35">
                  <c:v>1646006.8487834397</c:v>
                </c:pt>
                <c:pt idx="36">
                  <c:v>1886222.819678504</c:v>
                </c:pt>
                <c:pt idx="37">
                  <c:v>2137274.7687402577</c:v>
                </c:pt>
                <c:pt idx="38">
                  <c:v>2414111.4710969487</c:v>
                </c:pt>
                <c:pt idx="39">
                  <c:v>2748782.0564082251</c:v>
                </c:pt>
                <c:pt idx="40">
                  <c:v>3083835.4358615489</c:v>
                </c:pt>
                <c:pt idx="41">
                  <c:v>3452198.4274945278</c:v>
                </c:pt>
                <c:pt idx="42">
                  <c:v>3857169.7695595017</c:v>
                </c:pt>
                <c:pt idx="43">
                  <c:v>4302386.0019261725</c:v>
                </c:pt>
                <c:pt idx="44">
                  <c:v>4791817.8825192656</c:v>
                </c:pt>
                <c:pt idx="45">
                  <c:v>5329762.7259646673</c:v>
                </c:pt>
                <c:pt idx="46">
                  <c:v>5921184.8417408532</c:v>
                </c:pt>
                <c:pt idx="47">
                  <c:v>6571282.7324517258</c:v>
                </c:pt>
                <c:pt idx="48">
                  <c:v>8632640.6433455851</c:v>
                </c:pt>
                <c:pt idx="49">
                  <c:v>9321251.1584530137</c:v>
                </c:pt>
                <c:pt idx="50">
                  <c:v>10572932.339934384</c:v>
                </c:pt>
                <c:pt idx="51">
                  <c:v>11958185.465242814</c:v>
                </c:pt>
                <c:pt idx="52">
                  <c:v>13210190.216246676</c:v>
                </c:pt>
                <c:pt idx="53">
                  <c:v>14586150.399117578</c:v>
                </c:pt>
                <c:pt idx="54">
                  <c:v>16098449.512771612</c:v>
                </c:pt>
                <c:pt idx="55">
                  <c:v>17760673.852897417</c:v>
                </c:pt>
                <c:pt idx="56">
                  <c:v>19587591.003137548</c:v>
                </c:pt>
                <c:pt idx="57">
                  <c:v>21595466.551181346</c:v>
                </c:pt>
                <c:pt idx="58">
                  <c:v>23802329.231200621</c:v>
                </c:pt>
                <c:pt idx="59">
                  <c:v>26227794.493275993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A8F-4DFF-AAB0-81D886B256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81021992"/>
        <c:axId val="681022384"/>
      </c:lineChart>
      <c:dateAx>
        <c:axId val="681021992"/>
        <c:scaling>
          <c:orientation val="minMax"/>
        </c:scaling>
        <c:delete val="0"/>
        <c:axPos val="b"/>
        <c:numFmt formatCode="[$-409]mmm\-yy;@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81022384"/>
        <c:crosses val="autoZero"/>
        <c:auto val="1"/>
        <c:lblOffset val="100"/>
        <c:baseTimeUnit val="months"/>
      </c:dateAx>
      <c:valAx>
        <c:axId val="6810223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$&quot;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8102199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2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r>
              <a:rPr lang="en-AU"/>
              <a:t>Avg Profit/Customer vs # Customers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130529160992053"/>
          <c:y val="0.1701149425287356"/>
          <c:w val="0.75832083613802748"/>
          <c:h val="0.77931034482758621"/>
        </c:manualLayout>
      </c:layout>
      <c:lineChart>
        <c:grouping val="standard"/>
        <c:varyColors val="0"/>
        <c:ser>
          <c:idx val="0"/>
          <c:order val="0"/>
          <c:tx>
            <c:strRef>
              <c:f>Summary!$E$28</c:f>
              <c:strCache>
                <c:ptCount val="1"/>
                <c:pt idx="0">
                  <c:v>Net profit per customer</c:v>
                </c:pt>
              </c:strCache>
            </c:strRef>
          </c:tx>
          <c:spPr>
            <a:ln w="31750" cap="rnd">
              <a:solidFill>
                <a:schemeClr val="accent1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cat>
            <c:numRef>
              <c:f>Summary!$I$5:$M$5</c:f>
              <c:numCache>
                <c:formatCode>General</c:formatCode>
                <c:ptCount val="5"/>
                <c:pt idx="0">
                  <c:v>2027</c:v>
                </c:pt>
                <c:pt idx="1">
                  <c:v>2028</c:v>
                </c:pt>
                <c:pt idx="2">
                  <c:v>2029</c:v>
                </c:pt>
                <c:pt idx="3">
                  <c:v>2030</c:v>
                </c:pt>
                <c:pt idx="4">
                  <c:v>2031</c:v>
                </c:pt>
              </c:numCache>
            </c:numRef>
          </c:cat>
          <c:val>
            <c:numRef>
              <c:f>Summary!$I$28:$M$28</c:f>
              <c:numCache>
                <c:formatCode>"$"#,##0_);[Red]\("$"#,##0\)</c:formatCode>
                <c:ptCount val="5"/>
                <c:pt idx="0">
                  <c:v>-709.22954668272382</c:v>
                </c:pt>
                <c:pt idx="1">
                  <c:v>-46.564052485971352</c:v>
                </c:pt>
                <c:pt idx="2">
                  <c:v>83.353229272263462</c:v>
                </c:pt>
                <c:pt idx="3">
                  <c:v>100.69166502140951</c:v>
                </c:pt>
                <c:pt idx="4">
                  <c:v>134.48854654428439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EA9-40D0-89AC-8104C0E093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99897199"/>
        <c:axId val="1503706175"/>
      </c:lineChart>
      <c:lineChart>
        <c:grouping val="standard"/>
        <c:varyColors val="0"/>
        <c:ser>
          <c:idx val="1"/>
          <c:order val="1"/>
          <c:tx>
            <c:strRef>
              <c:f>Summary!$E$27</c:f>
              <c:strCache>
                <c:ptCount val="1"/>
                <c:pt idx="0">
                  <c:v>Closing customers</c:v>
                </c:pt>
              </c:strCache>
            </c:strRef>
          </c:tx>
          <c:spPr>
            <a:ln w="31750" cap="rnd">
              <a:solidFill>
                <a:schemeClr val="accent2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cat>
            <c:numRef>
              <c:f>Summary!$I$5:$M$5</c:f>
              <c:numCache>
                <c:formatCode>General</c:formatCode>
                <c:ptCount val="5"/>
                <c:pt idx="0">
                  <c:v>2027</c:v>
                </c:pt>
                <c:pt idx="1">
                  <c:v>2028</c:v>
                </c:pt>
                <c:pt idx="2">
                  <c:v>2029</c:v>
                </c:pt>
                <c:pt idx="3">
                  <c:v>2030</c:v>
                </c:pt>
                <c:pt idx="4">
                  <c:v>2031</c:v>
                </c:pt>
              </c:numCache>
            </c:numRef>
          </c:cat>
          <c:val>
            <c:numRef>
              <c:f>Summary!$I$27:$M$27</c:f>
              <c:numCache>
                <c:formatCode>_-* #,##0_-;\-* #,##0_-;_-* "-"??_-;_-@_-</c:formatCode>
                <c:ptCount val="5"/>
                <c:pt idx="0">
                  <c:v>2239</c:v>
                </c:pt>
                <c:pt idx="1">
                  <c:v>51407</c:v>
                </c:pt>
                <c:pt idx="2">
                  <c:v>158703</c:v>
                </c:pt>
                <c:pt idx="3">
                  <c:v>492661</c:v>
                </c:pt>
                <c:pt idx="4">
                  <c:v>1529387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EA9-40D0-89AC-8104C0E093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11431007"/>
        <c:axId val="2004306639"/>
      </c:lineChart>
      <c:catAx>
        <c:axId val="1499897199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03706175"/>
        <c:crosses val="autoZero"/>
        <c:auto val="1"/>
        <c:lblAlgn val="ctr"/>
        <c:lblOffset val="100"/>
        <c:noMultiLvlLbl val="0"/>
      </c:catAx>
      <c:valAx>
        <c:axId val="150370617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$&quot;#,##0_);[Red]\(&quot;$&quot;#,##0\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99897199"/>
        <c:crosses val="autoZero"/>
        <c:crossBetween val="between"/>
      </c:valAx>
      <c:valAx>
        <c:axId val="2004306639"/>
        <c:scaling>
          <c:orientation val="minMax"/>
        </c:scaling>
        <c:delete val="0"/>
        <c:axPos val="r"/>
        <c:numFmt formatCode="_-* #,##0_-;\-* #,##0_-;_-* &quot;-&quot;??_-;_-@_-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11431007"/>
        <c:crosses val="max"/>
        <c:crossBetween val="between"/>
      </c:valAx>
      <c:catAx>
        <c:axId val="2011431007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2004306639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2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31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31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31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31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257174</xdr:colOff>
      <xdr:row>19</xdr:row>
      <xdr:rowOff>9524</xdr:rowOff>
    </xdr:from>
    <xdr:to>
      <xdr:col>25</xdr:col>
      <xdr:colOff>552449</xdr:colOff>
      <xdr:row>34</xdr:row>
      <xdr:rowOff>9524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247650</xdr:colOff>
      <xdr:row>3</xdr:row>
      <xdr:rowOff>180975</xdr:rowOff>
    </xdr:from>
    <xdr:to>
      <xdr:col>25</xdr:col>
      <xdr:colOff>552450</xdr:colOff>
      <xdr:row>18</xdr:row>
      <xdr:rowOff>38100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18</xdr:col>
      <xdr:colOff>257175</xdr:colOff>
      <xdr:row>35</xdr:row>
      <xdr:rowOff>28575</xdr:rowOff>
    </xdr:from>
    <xdr:to>
      <xdr:col>25</xdr:col>
      <xdr:colOff>552450</xdr:colOff>
      <xdr:row>50</xdr:row>
      <xdr:rowOff>47625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18</xdr:col>
      <xdr:colOff>257174</xdr:colOff>
      <xdr:row>51</xdr:row>
      <xdr:rowOff>31750</xdr:rowOff>
    </xdr:from>
    <xdr:to>
      <xdr:col>25</xdr:col>
      <xdr:colOff>558799</xdr:colOff>
      <xdr:row>68</xdr:row>
      <xdr:rowOff>6350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7DEB3A27-28D5-4B40-95CE-25039863B09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244928</xdr:colOff>
      <xdr:row>7</xdr:row>
      <xdr:rowOff>48986</xdr:rowOff>
    </xdr:from>
    <xdr:to>
      <xdr:col>5</xdr:col>
      <xdr:colOff>283029</xdr:colOff>
      <xdr:row>10</xdr:row>
      <xdr:rowOff>92529</xdr:rowOff>
    </xdr:to>
    <xdr:sp macro="" textlink="">
      <xdr:nvSpPr>
        <xdr:cNvPr id="2" name="Rectangle: Rounded Corners 1">
          <a:extLst>
            <a:ext uri="{FF2B5EF4-FFF2-40B4-BE49-F238E27FC236}">
              <a16:creationId xmlns:a16="http://schemas.microsoft.com/office/drawing/2014/main" id="{1F2E9F4B-2DA8-4E37-A57F-E359019D5ED6}"/>
            </a:ext>
          </a:extLst>
        </xdr:cNvPr>
        <xdr:cNvSpPr/>
      </xdr:nvSpPr>
      <xdr:spPr>
        <a:xfrm>
          <a:off x="2204357" y="1632857"/>
          <a:ext cx="1344386" cy="517072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AU" sz="1100"/>
            <a:t>Tables</a:t>
          </a:r>
        </a:p>
      </xdr:txBody>
    </xdr:sp>
    <xdr:clientData/>
  </xdr:twoCellAnchor>
  <xdr:twoCellAnchor>
    <xdr:from>
      <xdr:col>5</xdr:col>
      <xdr:colOff>631371</xdr:colOff>
      <xdr:row>7</xdr:row>
      <xdr:rowOff>48986</xdr:rowOff>
    </xdr:from>
    <xdr:to>
      <xdr:col>8</xdr:col>
      <xdr:colOff>16328</xdr:colOff>
      <xdr:row>10</xdr:row>
      <xdr:rowOff>92529</xdr:rowOff>
    </xdr:to>
    <xdr:sp macro="" textlink="">
      <xdr:nvSpPr>
        <xdr:cNvPr id="3" name="Rectangle: Rounded Corners 2">
          <a:extLst>
            <a:ext uri="{FF2B5EF4-FFF2-40B4-BE49-F238E27FC236}">
              <a16:creationId xmlns:a16="http://schemas.microsoft.com/office/drawing/2014/main" id="{851DD67A-69C9-4555-BB13-53140A4EB5F0}"/>
            </a:ext>
          </a:extLst>
        </xdr:cNvPr>
        <xdr:cNvSpPr/>
      </xdr:nvSpPr>
      <xdr:spPr>
        <a:xfrm>
          <a:off x="3897085" y="1632857"/>
          <a:ext cx="1344386" cy="517072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AU" sz="1100"/>
            <a:t>Assumptions</a:t>
          </a:r>
        </a:p>
      </xdr:txBody>
    </xdr:sp>
    <xdr:clientData/>
  </xdr:twoCellAnchor>
  <xdr:twoCellAnchor>
    <xdr:from>
      <xdr:col>4</xdr:col>
      <xdr:colOff>500744</xdr:colOff>
      <xdr:row>13</xdr:row>
      <xdr:rowOff>92528</xdr:rowOff>
    </xdr:from>
    <xdr:to>
      <xdr:col>6</xdr:col>
      <xdr:colOff>538844</xdr:colOff>
      <xdr:row>16</xdr:row>
      <xdr:rowOff>136072</xdr:rowOff>
    </xdr:to>
    <xdr:sp macro="" textlink="">
      <xdr:nvSpPr>
        <xdr:cNvPr id="4" name="Rectangle: Rounded Corners 3">
          <a:extLst>
            <a:ext uri="{FF2B5EF4-FFF2-40B4-BE49-F238E27FC236}">
              <a16:creationId xmlns:a16="http://schemas.microsoft.com/office/drawing/2014/main" id="{F6D05955-7696-4913-AFAC-6BADA7FC4C97}"/>
            </a:ext>
          </a:extLst>
        </xdr:cNvPr>
        <xdr:cNvSpPr/>
      </xdr:nvSpPr>
      <xdr:spPr>
        <a:xfrm>
          <a:off x="3113315" y="2623457"/>
          <a:ext cx="1344386" cy="517072"/>
        </a:xfrm>
        <a:prstGeom prst="roundRect">
          <a:avLst/>
        </a:prstGeom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AU" sz="1100"/>
            <a:t>Calculations</a:t>
          </a:r>
        </a:p>
      </xdr:txBody>
    </xdr:sp>
    <xdr:clientData/>
  </xdr:twoCellAnchor>
  <xdr:twoCellAnchor>
    <xdr:from>
      <xdr:col>4</xdr:col>
      <xdr:colOff>500744</xdr:colOff>
      <xdr:row>19</xdr:row>
      <xdr:rowOff>136070</xdr:rowOff>
    </xdr:from>
    <xdr:to>
      <xdr:col>6</xdr:col>
      <xdr:colOff>538844</xdr:colOff>
      <xdr:row>23</xdr:row>
      <xdr:rowOff>21771</xdr:rowOff>
    </xdr:to>
    <xdr:sp macro="" textlink="">
      <xdr:nvSpPr>
        <xdr:cNvPr id="5" name="Rectangle: Rounded Corners 4">
          <a:extLst>
            <a:ext uri="{FF2B5EF4-FFF2-40B4-BE49-F238E27FC236}">
              <a16:creationId xmlns:a16="http://schemas.microsoft.com/office/drawing/2014/main" id="{54A7B6F3-E645-4B07-B608-609AE9816327}"/>
            </a:ext>
          </a:extLst>
        </xdr:cNvPr>
        <xdr:cNvSpPr/>
      </xdr:nvSpPr>
      <xdr:spPr>
        <a:xfrm>
          <a:off x="3113315" y="3614056"/>
          <a:ext cx="1344386" cy="517072"/>
        </a:xfrm>
        <a:prstGeom prst="roundRect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AU" sz="1100"/>
            <a:t>Summary</a:t>
          </a:r>
        </a:p>
      </xdr:txBody>
    </xdr:sp>
    <xdr:clientData/>
  </xdr:twoCellAnchor>
  <xdr:twoCellAnchor>
    <xdr:from>
      <xdr:col>8</xdr:col>
      <xdr:colOff>473527</xdr:colOff>
      <xdr:row>7</xdr:row>
      <xdr:rowOff>59875</xdr:rowOff>
    </xdr:from>
    <xdr:to>
      <xdr:col>9</xdr:col>
      <xdr:colOff>337456</xdr:colOff>
      <xdr:row>23</xdr:row>
      <xdr:rowOff>54432</xdr:rowOff>
    </xdr:to>
    <xdr:sp macro="" textlink="">
      <xdr:nvSpPr>
        <xdr:cNvPr id="6" name="Rectangle: Rounded Corners 5">
          <a:extLst>
            <a:ext uri="{FF2B5EF4-FFF2-40B4-BE49-F238E27FC236}">
              <a16:creationId xmlns:a16="http://schemas.microsoft.com/office/drawing/2014/main" id="{23209D8B-0658-40CD-A5B9-BCFF656197D3}"/>
            </a:ext>
          </a:extLst>
        </xdr:cNvPr>
        <xdr:cNvSpPr/>
      </xdr:nvSpPr>
      <xdr:spPr>
        <a:xfrm rot="5400000">
          <a:off x="4697184" y="2645232"/>
          <a:ext cx="2520043" cy="517072"/>
        </a:xfrm>
        <a:prstGeom prst="roundRect">
          <a:avLst/>
        </a:prstGeom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AU" sz="1100"/>
            <a:t>Error Checks &amp; Documentation</a:t>
          </a:r>
        </a:p>
      </xdr:txBody>
    </xdr:sp>
    <xdr:clientData/>
  </xdr:twoCellAnchor>
  <xdr:twoCellAnchor>
    <xdr:from>
      <xdr:col>4</xdr:col>
      <xdr:colOff>263979</xdr:colOff>
      <xdr:row>10</xdr:row>
      <xdr:rowOff>92529</xdr:rowOff>
    </xdr:from>
    <xdr:to>
      <xdr:col>5</xdr:col>
      <xdr:colOff>519794</xdr:colOff>
      <xdr:row>13</xdr:row>
      <xdr:rowOff>92528</xdr:rowOff>
    </xdr:to>
    <xdr:cxnSp macro="">
      <xdr:nvCxnSpPr>
        <xdr:cNvPr id="8" name="Connector: Elbow 7">
          <a:extLst>
            <a:ext uri="{FF2B5EF4-FFF2-40B4-BE49-F238E27FC236}">
              <a16:creationId xmlns:a16="http://schemas.microsoft.com/office/drawing/2014/main" id="{ADA9E6ED-666F-4123-B44D-A6026AB06EA3}"/>
            </a:ext>
          </a:extLst>
        </xdr:cNvPr>
        <xdr:cNvCxnSpPr>
          <a:stCxn id="2" idx="2"/>
          <a:endCxn id="4" idx="0"/>
        </xdr:cNvCxnSpPr>
      </xdr:nvCxnSpPr>
      <xdr:spPr>
        <a:xfrm rot="16200000" flipH="1">
          <a:off x="3094265" y="1932214"/>
          <a:ext cx="473528" cy="908958"/>
        </a:xfrm>
        <a:prstGeom prst="bentConnector3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519794</xdr:colOff>
      <xdr:row>10</xdr:row>
      <xdr:rowOff>92529</xdr:rowOff>
    </xdr:from>
    <xdr:to>
      <xdr:col>6</xdr:col>
      <xdr:colOff>650421</xdr:colOff>
      <xdr:row>13</xdr:row>
      <xdr:rowOff>92528</xdr:rowOff>
    </xdr:to>
    <xdr:cxnSp macro="">
      <xdr:nvCxnSpPr>
        <xdr:cNvPr id="10" name="Connector: Elbow 9">
          <a:extLst>
            <a:ext uri="{FF2B5EF4-FFF2-40B4-BE49-F238E27FC236}">
              <a16:creationId xmlns:a16="http://schemas.microsoft.com/office/drawing/2014/main" id="{68CB9EA8-B298-4FAE-B79D-D372C761FB07}"/>
            </a:ext>
          </a:extLst>
        </xdr:cNvPr>
        <xdr:cNvCxnSpPr>
          <a:stCxn id="3" idx="2"/>
          <a:endCxn id="4" idx="0"/>
        </xdr:cNvCxnSpPr>
      </xdr:nvCxnSpPr>
      <xdr:spPr>
        <a:xfrm rot="5400000">
          <a:off x="3940629" y="1994808"/>
          <a:ext cx="473528" cy="783770"/>
        </a:xfrm>
        <a:prstGeom prst="bentConnector3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519794</xdr:colOff>
      <xdr:row>16</xdr:row>
      <xdr:rowOff>136072</xdr:rowOff>
    </xdr:from>
    <xdr:to>
      <xdr:col>5</xdr:col>
      <xdr:colOff>519794</xdr:colOff>
      <xdr:row>19</xdr:row>
      <xdr:rowOff>136070</xdr:rowOff>
    </xdr:to>
    <xdr:cxnSp macro="">
      <xdr:nvCxnSpPr>
        <xdr:cNvPr id="12" name="Straight Arrow Connector 11">
          <a:extLst>
            <a:ext uri="{FF2B5EF4-FFF2-40B4-BE49-F238E27FC236}">
              <a16:creationId xmlns:a16="http://schemas.microsoft.com/office/drawing/2014/main" id="{6CF497C9-A97E-44F6-B34C-866AA16B8AAC}"/>
            </a:ext>
          </a:extLst>
        </xdr:cNvPr>
        <xdr:cNvCxnSpPr>
          <a:stCxn id="4" idx="2"/>
          <a:endCxn id="5" idx="0"/>
        </xdr:cNvCxnSpPr>
      </xdr:nvCxnSpPr>
      <xdr:spPr>
        <a:xfrm>
          <a:off x="3785508" y="3140529"/>
          <a:ext cx="0" cy="473527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13</xdr:row>
      <xdr:rowOff>0</xdr:rowOff>
    </xdr:from>
    <xdr:to>
      <xdr:col>6</xdr:col>
      <xdr:colOff>5443</xdr:colOff>
      <xdr:row>22</xdr:row>
      <xdr:rowOff>47625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DAAE18ED-E8E3-4F45-90D0-76DDEFB8EBA8}"/>
            </a:ext>
          </a:extLst>
        </xdr:cNvPr>
        <xdr:cNvSpPr txBox="1">
          <a:spLocks noChangeArrowheads="1"/>
        </xdr:cNvSpPr>
      </xdr:nvSpPr>
      <xdr:spPr bwMode="auto">
        <a:xfrm>
          <a:off x="653143" y="2732314"/>
          <a:ext cx="3946071" cy="1468211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chemeClr val="bg1">
              <a:lumMod val="85000"/>
            </a:schemeClr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AU" sz="1050" b="1" i="0" u="none" strike="noStrike" baseline="0">
              <a:solidFill>
                <a:srgbClr val="000000"/>
              </a:solidFill>
              <a:latin typeface="+mn-lt"/>
              <a:cs typeface="Arial"/>
            </a:rPr>
            <a:t>Purpose</a:t>
          </a:r>
          <a:endParaRPr lang="en-AU" sz="1050" b="0" i="0" u="none" strike="noStrike" baseline="0">
            <a:solidFill>
              <a:srgbClr val="000000"/>
            </a:solidFill>
            <a:latin typeface="+mn-lt"/>
            <a:cs typeface="Arial"/>
          </a:endParaRPr>
        </a:p>
        <a:p>
          <a:pPr algn="l" rtl="0">
            <a:defRPr sz="1000"/>
          </a:pPr>
          <a:r>
            <a:rPr lang="en-AU" sz="1050" b="0" i="0" u="none" strike="noStrike" baseline="0">
              <a:solidFill>
                <a:srgbClr val="000000"/>
              </a:solidFill>
              <a:latin typeface="+mn-lt"/>
              <a:cs typeface="Arial"/>
            </a:rPr>
            <a:t>Model purpose is to forecast the income statement, balance sheet and cashflow of Growth Startup so that the business can be valued.</a:t>
          </a:r>
        </a:p>
        <a:p>
          <a:pPr algn="l" rtl="0">
            <a:defRPr sz="1000"/>
          </a:pPr>
          <a:endParaRPr lang="en-AU" sz="1050" b="0" i="0" u="none" strike="noStrike" baseline="0">
            <a:solidFill>
              <a:srgbClr val="000000"/>
            </a:solidFill>
            <a:latin typeface="+mn-lt"/>
            <a:cs typeface="Arial"/>
          </a:endParaRPr>
        </a:p>
        <a:p>
          <a:pPr algn="l" rtl="0">
            <a:defRPr sz="1000"/>
          </a:pPr>
          <a:r>
            <a:rPr lang="en-AU" sz="1050" b="1" i="0" u="none" strike="noStrike" baseline="0">
              <a:solidFill>
                <a:srgbClr val="000000"/>
              </a:solidFill>
              <a:latin typeface="+mn-lt"/>
              <a:cs typeface="Arial"/>
            </a:rPr>
            <a:t>To use this Model:</a:t>
          </a:r>
          <a:endParaRPr lang="en-AU" sz="1050" b="0" i="0" u="none" strike="noStrike" baseline="0">
            <a:solidFill>
              <a:srgbClr val="000000"/>
            </a:solidFill>
            <a:latin typeface="+mn-lt"/>
            <a:cs typeface="Arial"/>
          </a:endParaRPr>
        </a:p>
        <a:p>
          <a:pPr algn="l" rtl="0">
            <a:defRPr sz="1000"/>
          </a:pPr>
          <a:r>
            <a:rPr lang="en-AU" sz="1050" b="0" i="0" u="none" strike="noStrike" baseline="0">
              <a:solidFill>
                <a:srgbClr val="000000"/>
              </a:solidFill>
              <a:latin typeface="+mn-lt"/>
              <a:cs typeface="Arial"/>
            </a:rPr>
            <a:t>Enter data into the assumptions sheet.  This populates the other sheets.</a:t>
          </a:r>
          <a:endParaRPr lang="en-AU" sz="1050">
            <a:latin typeface="+mn-lt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Training/Manuals%20and%20Exercises/B9%20Combined%20Financial%20Modelling%20and%20Workshop/Exercises/Complete%20Financial%20Modelling/Balance%20Sheet_complete.xlsm" TargetMode="External"/><Relationship Id="rId1" Type="http://schemas.openxmlformats.org/officeDocument/2006/relationships/externalLinkPath" Target="/AA%20Shared%20Documents/AA%20Operations/Training/Manuals%20and%20Exercises/B9%20Combined%20Financial%20Modelling%20and%20Workshop/Exercises/Complete%20Financial%20Modelling/Balance%20Sheet_complete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Legal"/>
      <sheetName val="Exercise"/>
      <sheetName val="ToC"/>
      <sheetName val="Assumptions"/>
      <sheetName val="Calculations"/>
      <sheetName val="Tables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4</v>
    <v>8</v>
    <v>0</v>
    <v>5</v>
  </rv>
</rvData>
</file>

<file path=xl/richData/rdrichvaluestructure.xml><?xml version="1.0" encoding="utf-8"?>
<rvStructures xmlns="http://schemas.microsoft.com/office/spreadsheetml/2017/richdata" count="1">
  <s t="_error">
    <k n="colOffset" t="i"/>
    <k n="errorType" t="i"/>
    <k n="rwOffset" t="i"/>
    <k n="subType" t="i"/>
  </s>
</rvStructure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blAnnualAssm" displayName="tblAnnualAssm" ref="F38:M53" totalsRowShown="0" headerRowDxfId="65" dataDxfId="64">
  <autoFilter ref="F38:M53" xr:uid="{00000000-0009-0000-0100-000001000000}"/>
  <tableColumns count="8">
    <tableColumn id="1" xr3:uid="{00000000-0010-0000-0000-000001000000}" name="Case" dataDxfId="63"/>
    <tableColumn id="7" xr3:uid="{00000000-0010-0000-0000-000007000000}" name="Input Type" dataDxfId="62"/>
    <tableColumn id="8" xr3:uid="{00000000-0010-0000-0000-000008000000}" name="Description" dataDxfId="61">
      <calculatedColumnFormula>INDEX(tblInputType[Description],MATCH(tblAnnualAssm[[#This Row],[Input Type]],tblInputType[Input Type],0))</calculatedColumnFormula>
    </tableColumn>
    <tableColumn id="2" xr3:uid="{00000000-0010-0000-0000-000002000000}" name="1" dataDxfId="60" dataCellStyle="Input"/>
    <tableColumn id="3" xr3:uid="{00000000-0010-0000-0000-000003000000}" name="2" dataDxfId="59" dataCellStyle="Input"/>
    <tableColumn id="4" xr3:uid="{00000000-0010-0000-0000-000004000000}" name="3" dataDxfId="58" dataCellStyle="Input"/>
    <tableColumn id="5" xr3:uid="{00000000-0010-0000-0000-000005000000}" name="4" dataDxfId="57" dataCellStyle="Input"/>
    <tableColumn id="6" xr3:uid="{00000000-0010-0000-0000-000006000000}" name="5" dataDxfId="56" dataCellStyle="Input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1000000}" name="tblDebtorCollection" displayName="tblDebtorCollection" ref="M11:N15" totalsRowShown="0" headerRowDxfId="55" dataDxfId="54">
  <autoFilter ref="M11:N15" xr:uid="{00000000-0009-0000-0100-000006000000}"/>
  <tableColumns count="2">
    <tableColumn id="1" xr3:uid="{00000000-0010-0000-0100-000001000000}" name="Months" dataDxfId="53"/>
    <tableColumn id="2" xr3:uid="{00000000-0010-0000-0100-000002000000}" name="%" dataDxfId="52"/>
  </tableColumns>
  <tableStyleInfo name="TableStyleMedium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2000000}" name="tblCreditorPayment" displayName="tblCreditorPayment" ref="M18:N22" totalsRowShown="0" headerRowDxfId="51" dataDxfId="50">
  <autoFilter ref="M18:N22" xr:uid="{00000000-0009-0000-0100-000007000000}"/>
  <tableColumns count="2">
    <tableColumn id="1" xr3:uid="{00000000-0010-0000-0200-000001000000}" name="Months" dataDxfId="49"/>
    <tableColumn id="2" xr3:uid="{00000000-0010-0000-0200-000002000000}" name="%" dataDxfId="48"/>
  </tableColumns>
  <tableStyleInfo name="TableStyleMedium9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3000000}" name="tblCases" displayName="tblCases" ref="B7:C10" totalsRowShown="0" headerRowDxfId="47" dataDxfId="45" headerRowBorderDxfId="46" tableBorderDxfId="44" totalsRowBorderDxfId="43">
  <autoFilter ref="B7:C10" xr:uid="{00000000-0009-0000-0100-000002000000}"/>
  <tableColumns count="2">
    <tableColumn id="1" xr3:uid="{00000000-0010-0000-0300-000001000000}" name="Case" dataDxfId="42"/>
    <tableColumn id="2" xr3:uid="{00000000-0010-0000-0300-000002000000}" name="Starting Customers" dataDxfId="41" dataCellStyle="Input"/>
  </tableColumns>
  <tableStyleInfo name="TableStyleMedium9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4000000}" name="tblInputType" displayName="tblInputType" ref="B13:C18" totalsRowShown="0" headerRowDxfId="40" dataDxfId="39">
  <autoFilter ref="B13:C18" xr:uid="{00000000-0009-0000-0100-000003000000}"/>
  <tableColumns count="2">
    <tableColumn id="1" xr3:uid="{00000000-0010-0000-0400-000001000000}" name="Input Type" dataDxfId="38"/>
    <tableColumn id="2" xr3:uid="{00000000-0010-0000-0400-000002000000}" name="Description" dataDxfId="37"/>
  </tableColumns>
  <tableStyleInfo name="TableStyleMedium9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5000000}" name="tblStaffScenario" displayName="tblStaffScenario" ref="B21:B25" totalsRowShown="0" headerRowDxfId="36" dataDxfId="35">
  <autoFilter ref="B21:B25" xr:uid="{00000000-0009-0000-0100-000004000000}"/>
  <tableColumns count="1">
    <tableColumn id="1" xr3:uid="{00000000-0010-0000-0500-000001000000}" name="Staffing Scenario" dataDxfId="34"/>
  </tableColumns>
  <tableStyleInfo name="TableStyleMedium9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6000000}" name="tblStaff" displayName="tblStaff" ref="B28:C38" totalsRowShown="0" headerRowDxfId="33">
  <autoFilter ref="B28:C38" xr:uid="{00000000-0009-0000-0100-000005000000}"/>
  <tableColumns count="2">
    <tableColumn id="1" xr3:uid="{00000000-0010-0000-0600-000001000000}" name="Staff" dataDxfId="32"/>
    <tableColumn id="2" xr3:uid="{00000000-0010-0000-0600-000002000000}" name="Salary" dataDxfId="31"/>
  </tableColumns>
  <tableStyleInfo name="TableStyleMedium9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65F47858-DB63-4EFA-97EA-15E269D692D7}" name="APIConfigTable" displayName="APIConfigTable" ref="B5:J14" totalsRowShown="0" headerRowDxfId="76" dataDxfId="75">
  <autoFilter ref="B5:J14" xr:uid="{65F47858-DB63-4EFA-97EA-15E269D692D7}"/>
  <tableColumns count="9">
    <tableColumn id="1" xr3:uid="{3C6F9BAC-99E8-46D4-B61F-ACAD55A8F3C5}" name="RangeName" dataDxfId="74"/>
    <tableColumn id="8" xr3:uid="{C2360D44-0E4C-43B5-9F9C-37EC8AD4C40A}" name="Current Value" dataDxfId="73" dataCellStyle="Calculation">
      <calculatedColumnFormula array="1">INDIRECT(APIConfigTable[[#This Row],[RangeName]])</calculatedColumnFormula>
    </tableColumn>
    <tableColumn id="2" xr3:uid="{AD5E9A6F-2EA8-44B7-ACC6-4B5A49B7DB42}" name="Direction" dataDxfId="72"/>
    <tableColumn id="3" xr3:uid="{C22B7FAF-B6E4-41A3-95D2-7E02C5EFC4CA}" name="Type" dataDxfId="71"/>
    <tableColumn id="4" xr3:uid="{96C305B4-2A1B-4AAC-85CE-2D71824BE7D3}" name="Min" dataDxfId="70"/>
    <tableColumn id="5" xr3:uid="{ED25E9DB-0A06-4F26-A053-892779CE8A60}" name="Max" dataDxfId="69"/>
    <tableColumn id="7" xr3:uid="{327BBEB2-DBCB-4A05-BD9B-DA6D6D8D020C}" name="ValidationRangeName" dataDxfId="68"/>
    <tableColumn id="6" xr3:uid="{D2EFF085-CD60-47B2-BD65-D550615A3931}" name="Description" dataDxfId="67"/>
    <tableColumn id="9" xr3:uid="{0D4E50C4-2EEA-409F-9935-570A0D60ABCE}" name="Display Name" dataDxfId="66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2.bin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4.bin"/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2.bin"/><Relationship Id="rId6" Type="http://schemas.openxmlformats.org/officeDocument/2006/relationships/table" Target="../tables/table3.xml"/><Relationship Id="rId5" Type="http://schemas.openxmlformats.org/officeDocument/2006/relationships/table" Target="../tables/table2.xml"/><Relationship Id="rId4" Type="http://schemas.openxmlformats.org/officeDocument/2006/relationships/table" Target="../tables/table1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7.bin"/><Relationship Id="rId7" Type="http://schemas.openxmlformats.org/officeDocument/2006/relationships/table" Target="../tables/table7.xml"/><Relationship Id="rId2" Type="http://schemas.openxmlformats.org/officeDocument/2006/relationships/customProperty" Target="../customProperty6.bin"/><Relationship Id="rId1" Type="http://schemas.openxmlformats.org/officeDocument/2006/relationships/customProperty" Target="../customProperty5.bin"/><Relationship Id="rId6" Type="http://schemas.openxmlformats.org/officeDocument/2006/relationships/table" Target="../tables/table6.xml"/><Relationship Id="rId5" Type="http://schemas.openxmlformats.org/officeDocument/2006/relationships/table" Target="../tables/table5.xml"/><Relationship Id="rId4" Type="http://schemas.openxmlformats.org/officeDocument/2006/relationships/table" Target="../tables/table4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8"/>
  <dimension ref="A1:L18"/>
  <sheetViews>
    <sheetView showGridLines="0" workbookViewId="0"/>
  </sheetViews>
  <sheetFormatPr defaultColWidth="9.28515625" defaultRowHeight="12.75" x14ac:dyDescent="0.2"/>
  <cols>
    <col min="1" max="1" width="4.85546875" style="97" customWidth="1"/>
    <col min="2" max="2" width="3.42578125" style="97" customWidth="1"/>
    <col min="3" max="3" width="9.28515625" style="97" customWidth="1"/>
    <col min="4" max="16384" width="9.28515625" style="97"/>
  </cols>
  <sheetData>
    <row r="1" spans="1:12" ht="43.9" customHeight="1" thickBot="1" x14ac:dyDescent="0.35">
      <c r="A1" s="96"/>
      <c r="B1" s="96" t="str">
        <f ca="1">AssmModelHeader</f>
        <v>Growth Startup (High)</v>
      </c>
      <c r="C1" s="96"/>
      <c r="D1" s="96"/>
      <c r="E1" s="96"/>
      <c r="F1" s="96"/>
      <c r="G1" s="96"/>
      <c r="H1" s="96"/>
      <c r="I1" s="96"/>
      <c r="J1" s="96"/>
      <c r="K1" s="96"/>
      <c r="L1" s="96"/>
    </row>
    <row r="2" spans="1:12" ht="18.75" thickTop="1" thickBot="1" x14ac:dyDescent="0.35">
      <c r="A2" s="98"/>
      <c r="B2" s="98" t="str">
        <f ca="1">RIGHT(CELL("filename",A1),LEN(CELL("filename",A1))-FIND("]",CELL("filename",A1)))</f>
        <v>ToC</v>
      </c>
      <c r="C2" s="98"/>
      <c r="D2" s="98"/>
      <c r="E2" s="98"/>
      <c r="F2" s="98"/>
      <c r="G2" s="98"/>
      <c r="H2" s="98"/>
      <c r="I2" s="98"/>
      <c r="J2" s="98"/>
      <c r="K2" s="98"/>
      <c r="L2" s="98"/>
    </row>
    <row r="3" spans="1:12" ht="13.5" thickTop="1" x14ac:dyDescent="0.2">
      <c r="A3" s="99"/>
      <c r="B3" s="99"/>
      <c r="C3" s="99"/>
      <c r="D3" s="99"/>
      <c r="E3" s="99"/>
      <c r="F3" s="99"/>
      <c r="G3" s="99"/>
      <c r="H3" s="99"/>
      <c r="I3" s="99"/>
      <c r="J3" s="99"/>
    </row>
    <row r="4" spans="1:12" x14ac:dyDescent="0.2">
      <c r="A4" s="80" t="b">
        <f ca="1">ErrChkOverall</f>
        <v>1</v>
      </c>
    </row>
    <row r="7" spans="1:12" x14ac:dyDescent="0.2">
      <c r="C7" s="93" t="s">
        <v>0</v>
      </c>
    </row>
    <row r="8" spans="1:12" x14ac:dyDescent="0.2">
      <c r="C8" s="93" t="s">
        <v>1</v>
      </c>
    </row>
    <row r="9" spans="1:12" x14ac:dyDescent="0.2">
      <c r="C9" s="93" t="s">
        <v>2</v>
      </c>
    </row>
    <row r="10" spans="1:12" x14ac:dyDescent="0.2">
      <c r="C10" s="93" t="s">
        <v>3</v>
      </c>
    </row>
    <row r="11" spans="1:12" x14ac:dyDescent="0.2">
      <c r="C11" s="93" t="s">
        <v>4</v>
      </c>
    </row>
    <row r="12" spans="1:12" x14ac:dyDescent="0.2">
      <c r="C12" s="93" t="s">
        <v>5</v>
      </c>
    </row>
    <row r="13" spans="1:12" x14ac:dyDescent="0.2">
      <c r="C13" s="93" t="s">
        <v>6</v>
      </c>
    </row>
    <row r="14" spans="1:12" x14ac:dyDescent="0.2">
      <c r="C14" s="93" t="s">
        <v>7</v>
      </c>
    </row>
    <row r="15" spans="1:12" x14ac:dyDescent="0.2">
      <c r="C15" s="93" t="s">
        <v>8</v>
      </c>
    </row>
    <row r="16" spans="1:12" x14ac:dyDescent="0.2">
      <c r="C16" s="93" t="s">
        <v>9</v>
      </c>
    </row>
    <row r="17" spans="3:3" x14ac:dyDescent="0.2">
      <c r="C17" s="93" t="s">
        <v>10</v>
      </c>
    </row>
    <row r="18" spans="3:3" x14ac:dyDescent="0.2">
      <c r="C18" s="93" t="s">
        <v>11</v>
      </c>
    </row>
  </sheetData>
  <conditionalFormatting sqref="A4">
    <cfRule type="cellIs" dxfId="30" priority="1" operator="equal">
      <formula>FALSE</formula>
    </cfRule>
    <cfRule type="cellIs" dxfId="29" priority="2" operator="equal">
      <formula>TRUE</formula>
    </cfRule>
  </conditionalFormatting>
  <hyperlinks>
    <hyperlink ref="C7" location="'Legal'!A1" display="Legal" xr:uid="{00000000-0004-0000-0200-000000000000}"/>
    <hyperlink ref="C8" location="'Exercise'!A1" display="Exercise" xr:uid="{00000000-0004-0000-0200-000001000000}"/>
    <hyperlink ref="C9" location="'Error Checks'!A1" display="Error Checks" xr:uid="{00000000-0004-0000-0200-000002000000}"/>
    <hyperlink ref="C10" location="'Summary'!A1" display="Summary" xr:uid="{00000000-0004-0000-0200-000003000000}"/>
    <hyperlink ref="C11" location="'Calculations'!A1" display="Calculations" xr:uid="{00000000-0004-0000-0200-000004000000}"/>
    <hyperlink ref="C12" location="'Assumptions'!A1" display="Assumptions" xr:uid="{00000000-0004-0000-0200-000005000000}"/>
    <hyperlink ref="C13" location="'Tables'!A1" display="Tables" xr:uid="{00000000-0004-0000-0200-000006000000}"/>
    <hyperlink ref="C14" location="'Format Conventions'!A1" display="Format Conventions" xr:uid="{00000000-0004-0000-0200-000007000000}"/>
    <hyperlink ref="C15" location="'Structure'!A1" display="Structure" xr:uid="{00000000-0004-0000-0200-000008000000}"/>
    <hyperlink ref="C16" location="'Guidance'!A1" display="Guidance" xr:uid="{00000000-0004-0000-0200-000009000000}"/>
    <hyperlink ref="C17" location="'ToDo'!A1" display="ToDo" xr:uid="{00000000-0004-0000-0200-00000A000000}"/>
    <hyperlink ref="C18" location="'Change Log'!A1" display="Change Log" xr:uid="{00000000-0004-0000-0200-00000B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6">
    <tabColor theme="6"/>
  </sheetPr>
  <dimension ref="A1:Y10"/>
  <sheetViews>
    <sheetView showGridLines="0" workbookViewId="0">
      <selection activeCell="D7" sqref="D7"/>
    </sheetView>
  </sheetViews>
  <sheetFormatPr defaultRowHeight="12.75" x14ac:dyDescent="0.2"/>
  <cols>
    <col min="1" max="1" width="4.7109375" customWidth="1"/>
    <col min="2" max="2" width="35.28515625" customWidth="1"/>
    <col min="3" max="3" width="24" customWidth="1"/>
    <col min="4" max="4" width="8.7109375" customWidth="1"/>
    <col min="5" max="5" width="4.5703125" customWidth="1"/>
    <col min="6" max="6" width="31.28515625" customWidth="1"/>
  </cols>
  <sheetData>
    <row r="1" spans="1:25" s="1" customFormat="1" ht="44.25" customHeight="1" thickBot="1" x14ac:dyDescent="0.35">
      <c r="A1" s="70"/>
      <c r="B1" s="70" t="str">
        <f ca="1">AssmModelHeader</f>
        <v>Growth Startup (High)</v>
      </c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  <c r="X1" s="70"/>
      <c r="Y1" s="70"/>
    </row>
    <row r="2" spans="1:25" s="1" customFormat="1" ht="18.75" thickTop="1" thickBot="1" x14ac:dyDescent="0.35">
      <c r="A2" s="69"/>
      <c r="B2" s="69" t="s">
        <v>2</v>
      </c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69"/>
      <c r="W2" s="69"/>
      <c r="X2" s="69"/>
      <c r="Y2" s="69"/>
    </row>
    <row r="3" spans="1:25" ht="13.5" thickTop="1" x14ac:dyDescent="0.2">
      <c r="A3" s="93" t="s">
        <v>12</v>
      </c>
    </row>
    <row r="4" spans="1:25" x14ac:dyDescent="0.2">
      <c r="A4" s="80" t="b">
        <f ca="1">ErrChkOverall</f>
        <v>1</v>
      </c>
      <c r="C4" s="94" t="s">
        <v>13</v>
      </c>
      <c r="D4" s="80" t="b">
        <f ca="1">COUNTA(D7:D19)=COUNTIF(D7:D19,TRUE)</f>
        <v>1</v>
      </c>
    </row>
    <row r="6" spans="1:25" ht="15.75" thickBot="1" x14ac:dyDescent="0.3">
      <c r="B6" s="68" t="s">
        <v>14</v>
      </c>
      <c r="C6" s="68" t="s">
        <v>15</v>
      </c>
      <c r="D6" s="68" t="s">
        <v>16</v>
      </c>
      <c r="E6" s="68" t="s">
        <v>17</v>
      </c>
      <c r="F6" s="68" t="s">
        <v>18</v>
      </c>
    </row>
    <row r="7" spans="1:25" ht="15" x14ac:dyDescent="0.25">
      <c r="B7" t="s">
        <v>19</v>
      </c>
      <c r="C7" s="92" t="s">
        <v>20</v>
      </c>
      <c r="D7" s="80" t="b">
        <f ca="1">INDIRECT(C7)</f>
        <v>1</v>
      </c>
      <c r="E7" s="93" t="str">
        <f>HYPERLINK("#"&amp;C7,"Link")</f>
        <v>Link</v>
      </c>
      <c r="F7" s="18"/>
    </row>
    <row r="8" spans="1:25" ht="15" x14ac:dyDescent="0.25">
      <c r="B8" t="s">
        <v>21</v>
      </c>
      <c r="C8" s="92" t="s">
        <v>22</v>
      </c>
      <c r="D8" s="80" t="b">
        <f t="shared" ref="D8:D10" ca="1" si="0">INDIRECT(C8)</f>
        <v>1</v>
      </c>
      <c r="E8" s="93" t="str">
        <f t="shared" ref="E8:E9" si="1">HYPERLINK("#"&amp;C8,"Link")</f>
        <v>Link</v>
      </c>
      <c r="F8" s="18"/>
    </row>
    <row r="9" spans="1:25" ht="15" x14ac:dyDescent="0.25">
      <c r="B9" t="s">
        <v>23</v>
      </c>
      <c r="C9" s="92" t="s">
        <v>24</v>
      </c>
      <c r="D9" s="80" t="b">
        <f t="shared" ca="1" si="0"/>
        <v>1</v>
      </c>
      <c r="E9" s="93" t="str">
        <f t="shared" si="1"/>
        <v>Link</v>
      </c>
      <c r="F9" s="18"/>
    </row>
    <row r="10" spans="1:25" ht="15" x14ac:dyDescent="0.25">
      <c r="B10" t="s">
        <v>25</v>
      </c>
      <c r="C10" s="92" t="s">
        <v>26</v>
      </c>
      <c r="D10" s="80" t="b">
        <f t="shared" ca="1" si="0"/>
        <v>1</v>
      </c>
      <c r="E10" s="93" t="str">
        <f t="shared" ref="E10" si="2">HYPERLINK("#"&amp;C10,"Link")</f>
        <v>Link</v>
      </c>
      <c r="F10" s="18"/>
    </row>
  </sheetData>
  <conditionalFormatting sqref="A4">
    <cfRule type="cellIs" dxfId="28" priority="1" operator="equal">
      <formula>FALSE</formula>
    </cfRule>
    <cfRule type="cellIs" dxfId="27" priority="2" operator="equal">
      <formula>TRUE</formula>
    </cfRule>
  </conditionalFormatting>
  <conditionalFormatting sqref="D4">
    <cfRule type="cellIs" dxfId="26" priority="3" operator="equal">
      <formula>FALSE</formula>
    </cfRule>
    <cfRule type="cellIs" dxfId="25" priority="4" operator="equal">
      <formula>TRUE</formula>
    </cfRule>
  </conditionalFormatting>
  <conditionalFormatting sqref="D7:D10">
    <cfRule type="cellIs" dxfId="24" priority="5" operator="equal">
      <formula>FALSE</formula>
    </cfRule>
    <cfRule type="cellIs" dxfId="23" priority="6" operator="equal">
      <formula>TRUE</formula>
    </cfRule>
  </conditionalFormatting>
  <hyperlinks>
    <hyperlink ref="A3" location="Start" display="ToC" xr:uid="{00000000-0004-0000-0300-000000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7">
    <tabColor theme="5"/>
  </sheetPr>
  <dimension ref="A1:Z60"/>
  <sheetViews>
    <sheetView showGridLines="0" topLeftCell="C1" workbookViewId="0">
      <selection activeCell="I23" sqref="I23:M23"/>
    </sheetView>
  </sheetViews>
  <sheetFormatPr defaultColWidth="9.28515625" defaultRowHeight="12.75" x14ac:dyDescent="0.2"/>
  <cols>
    <col min="1" max="1" width="5.28515625" style="74" hidden="1" customWidth="1"/>
    <col min="2" max="2" width="4.28515625" style="74" hidden="1" customWidth="1"/>
    <col min="3" max="6" width="2.7109375" customWidth="1"/>
    <col min="7" max="7" width="21" customWidth="1"/>
    <col min="8" max="8" width="12.7109375" bestFit="1" customWidth="1"/>
    <col min="9" max="13" width="12.28515625" customWidth="1"/>
    <col min="15" max="15" width="11.28515625" customWidth="1"/>
    <col min="17" max="17" width="15.28515625" customWidth="1"/>
  </cols>
  <sheetData>
    <row r="1" spans="1:26" s="1" customFormat="1" ht="44.25" customHeight="1" thickBot="1" x14ac:dyDescent="0.35">
      <c r="A1" s="70"/>
      <c r="B1" s="70"/>
      <c r="C1" s="70" t="str">
        <f ca="1">AssmModelHeader</f>
        <v>Growth Startup (High)</v>
      </c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  <c r="X1" s="70"/>
      <c r="Y1" s="70"/>
      <c r="Z1" s="70"/>
    </row>
    <row r="2" spans="1:26" s="1" customFormat="1" ht="18.75" thickTop="1" thickBot="1" x14ac:dyDescent="0.35">
      <c r="A2" s="69"/>
      <c r="B2" s="69"/>
      <c r="C2" s="69" t="s">
        <v>27</v>
      </c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69"/>
      <c r="W2" s="69"/>
      <c r="X2" s="69"/>
      <c r="Y2" s="69"/>
      <c r="Z2" s="69"/>
    </row>
    <row r="3" spans="1:26" ht="13.5" thickTop="1" x14ac:dyDescent="0.2">
      <c r="B3" s="93" t="s">
        <v>12</v>
      </c>
    </row>
    <row r="4" spans="1:26" x14ac:dyDescent="0.2">
      <c r="B4" s="80" t="b">
        <f ca="1">ErrChkOverall</f>
        <v>1</v>
      </c>
    </row>
    <row r="5" spans="1:26" ht="18" thickBot="1" x14ac:dyDescent="0.35">
      <c r="C5" s="68"/>
      <c r="D5" s="68"/>
      <c r="E5" s="68"/>
      <c r="F5" s="68"/>
      <c r="G5" s="68"/>
      <c r="H5" s="68" t="s">
        <v>28</v>
      </c>
      <c r="I5" s="68">
        <f ca="1">YEAR(AssmStartDate)</f>
        <v>2027</v>
      </c>
      <c r="J5" s="68">
        <f ca="1">I5+1</f>
        <v>2028</v>
      </c>
      <c r="K5" s="68">
        <f t="shared" ref="K5:M5" ca="1" si="0">J5+1</f>
        <v>2029</v>
      </c>
      <c r="L5" s="68">
        <f t="shared" ca="1" si="0"/>
        <v>2030</v>
      </c>
      <c r="M5" s="68">
        <f t="shared" ca="1" si="0"/>
        <v>2031</v>
      </c>
      <c r="O5" s="69" t="s">
        <v>29</v>
      </c>
      <c r="P5" s="69"/>
      <c r="Q5" s="69"/>
    </row>
    <row r="6" spans="1:26" ht="15.75" thickBot="1" x14ac:dyDescent="0.3">
      <c r="C6" s="15" t="s">
        <v>30</v>
      </c>
      <c r="D6" s="15"/>
      <c r="E6" s="15"/>
      <c r="F6" s="15"/>
      <c r="G6" s="15"/>
      <c r="H6" s="15"/>
      <c r="I6" s="15">
        <f ca="1">I5-YEAR(AssmStartDate)+1</f>
        <v>1</v>
      </c>
      <c r="J6" s="15">
        <f ca="1">J5-YEAR(AssmStartDate)+1</f>
        <v>2</v>
      </c>
      <c r="K6" s="15">
        <f ca="1">K5-YEAR(AssmStartDate)+1</f>
        <v>3</v>
      </c>
      <c r="L6" s="15">
        <f ca="1">L5-YEAR(AssmStartDate)+1</f>
        <v>4</v>
      </c>
      <c r="M6" s="15">
        <f ca="1">M5-YEAR(AssmStartDate)+1</f>
        <v>5</v>
      </c>
      <c r="O6" s="68" t="s">
        <v>31</v>
      </c>
      <c r="P6" s="68"/>
      <c r="Q6" s="68"/>
    </row>
    <row r="7" spans="1:26" x14ac:dyDescent="0.2">
      <c r="C7" s="15" t="s">
        <v>32</v>
      </c>
      <c r="D7" s="15"/>
      <c r="E7" s="15"/>
      <c r="F7" s="15"/>
      <c r="G7" s="15"/>
      <c r="H7" s="15"/>
      <c r="I7" s="77">
        <f ca="1">EOMONTH(AssmStartDate,11)</f>
        <v>46752</v>
      </c>
      <c r="J7" s="77">
        <f ca="1">EOMONTH(I7,12)</f>
        <v>47118</v>
      </c>
      <c r="K7" s="77">
        <f t="shared" ref="K7:M7" ca="1" si="1">EOMONTH(J7,12)</f>
        <v>47483</v>
      </c>
      <c r="L7" s="77">
        <f t="shared" ca="1" si="1"/>
        <v>47848</v>
      </c>
      <c r="M7" s="77">
        <f t="shared" ca="1" si="1"/>
        <v>48213</v>
      </c>
      <c r="O7" s="87" t="s">
        <v>33</v>
      </c>
      <c r="P7" s="87"/>
      <c r="Q7" s="88" t="str">
        <f>AssmBusinessCase</f>
        <v>High</v>
      </c>
    </row>
    <row r="8" spans="1:26" x14ac:dyDescent="0.2">
      <c r="O8" s="87" t="s">
        <v>34</v>
      </c>
      <c r="P8" s="87"/>
      <c r="Q8" s="88" t="str">
        <f>AssmStaffScenario</f>
        <v>Fast</v>
      </c>
    </row>
    <row r="9" spans="1:26" ht="15" x14ac:dyDescent="0.25">
      <c r="C9" s="83" t="s">
        <v>35</v>
      </c>
      <c r="D9" s="83"/>
      <c r="E9" s="83"/>
      <c r="F9" s="83"/>
      <c r="G9" s="83"/>
      <c r="H9" s="83"/>
      <c r="I9" s="83"/>
      <c r="J9" s="83"/>
      <c r="K9" s="83"/>
      <c r="L9" s="83"/>
      <c r="M9" s="83"/>
      <c r="O9" s="87" t="s">
        <v>36</v>
      </c>
      <c r="P9" s="87"/>
      <c r="Q9" s="89">
        <f>AssmContingency</f>
        <v>0.1</v>
      </c>
    </row>
    <row r="10" spans="1:26" x14ac:dyDescent="0.2">
      <c r="A10" s="75">
        <f>IF(D10="",1,0)</f>
        <v>0</v>
      </c>
      <c r="B10" s="75"/>
      <c r="D10" t="str">
        <f>Calculations!C22</f>
        <v>Total Revenue</v>
      </c>
      <c r="H10" s="72">
        <f ca="1">SUM(I10:M10)</f>
        <v>472328145</v>
      </c>
      <c r="I10" s="72">
        <f ca="1">SUMIFS(OFFSET(Calculations!$I$10:$BP$10,MATCH(OFFSET(Summary!$D10,0,$A10),OFFSET(Calculations!$C$11:$C$230,0,$A10),0),0),Calculations!$I$8:$BP$8,I$6)</f>
        <v>186980</v>
      </c>
      <c r="J10" s="72">
        <f ca="1">SUMIFS(OFFSET(Calculations!$I$10:$BP$10,MATCH(OFFSET(Summary!$D10,0,$A10),OFFSET(Calculations!$C$11:$C$230,0,$A10),0),0),Calculations!$I$8:$BP$8,J$6)</f>
        <v>4278160</v>
      </c>
      <c r="K10" s="72">
        <f ca="1">SUMIFS(OFFSET(Calculations!$I$10:$BP$10,MATCH(OFFSET(Summary!$D10,0,$A10),OFFSET(Calculations!$C$11:$C$230,0,$A10),0),0),Calculations!$I$8:$BP$8,K$6)</f>
        <v>29916775</v>
      </c>
      <c r="L10" s="72">
        <f ca="1">SUMIFS(OFFSET(Calculations!$I$10:$BP$10,MATCH(OFFSET(Summary!$D10,0,$A10),OFFSET(Calculations!$C$11:$C$230,0,$A10),0),0),Calculations!$I$8:$BP$8,L$6)</f>
        <v>92683250</v>
      </c>
      <c r="M10" s="72">
        <f ca="1">SUMIFS(OFFSET(Calculations!$I$10:$BP$10,MATCH(OFFSET(Summary!$D10,0,$A10),OFFSET(Calculations!$C$11:$C$230,0,$A10),0),0),Calculations!$I$8:$BP$8,M$6)</f>
        <v>345262980</v>
      </c>
    </row>
    <row r="11" spans="1:26" ht="15.75" thickBot="1" x14ac:dyDescent="0.3">
      <c r="A11" s="75">
        <f t="shared" ref="A11:A23" si="2">IF(D11="",1,0)</f>
        <v>0</v>
      </c>
      <c r="B11" s="75"/>
      <c r="D11" t="str">
        <f>Calculations!C45</f>
        <v>Total Direct Costs</v>
      </c>
      <c r="H11" s="72">
        <f ca="1">SUM(I11:M11)</f>
        <v>73855009.166666672</v>
      </c>
      <c r="I11" s="72">
        <f ca="1">SUMIFS(OFFSET(Calculations!$I$10:$BP$10,MATCH(OFFSET(Summary!$D11,0,$A11),OFFSET(Calculations!$C$11:$C$230,0,$A11),0),0),Calculations!$I$8:$BP$8,I$6)</f>
        <v>1136927.3333333333</v>
      </c>
      <c r="J11" s="72">
        <f ca="1">SUMIFS(OFFSET(Calculations!$I$10:$BP$10,MATCH(OFFSET(Summary!$D11,0,$A11),OFFSET(Calculations!$C$11:$C$230,0,$A11),0),0),Calculations!$I$8:$BP$8,J$6)</f>
        <v>4826781.333333333</v>
      </c>
      <c r="K11" s="72">
        <f ca="1">SUMIFS(OFFSET(Calculations!$I$10:$BP$10,MATCH(OFFSET(Summary!$D11,0,$A11),OFFSET(Calculations!$C$11:$C$230,0,$A11),0),0),Calculations!$I$8:$BP$8,K$6)</f>
        <v>9196677.5</v>
      </c>
      <c r="L11" s="72">
        <f ca="1">SUMIFS(OFFSET(Calculations!$I$10:$BP$10,MATCH(OFFSET(Summary!$D11,0,$A11),OFFSET(Calculations!$C$11:$C$230,0,$A11),0),0),Calculations!$I$8:$BP$8,L$6)</f>
        <v>16718325.000000006</v>
      </c>
      <c r="M11" s="72">
        <f ca="1">SUMIFS(OFFSET(Calculations!$I$10:$BP$10,MATCH(OFFSET(Summary!$D11,0,$A11),OFFSET(Calculations!$C$11:$C$230,0,$A11),0),0),Calculations!$I$8:$BP$8,M$6)</f>
        <v>41976298</v>
      </c>
      <c r="O11" s="68" t="s">
        <v>37</v>
      </c>
      <c r="P11" s="68"/>
      <c r="Q11" s="68"/>
    </row>
    <row r="12" spans="1:26" x14ac:dyDescent="0.2">
      <c r="A12" s="75">
        <f t="shared" si="2"/>
        <v>0</v>
      </c>
      <c r="B12" s="75"/>
      <c r="D12" s="81" t="str">
        <f>Calculations!C47</f>
        <v>Gross Profit</v>
      </c>
      <c r="E12" s="81"/>
      <c r="F12" s="81"/>
      <c r="G12" s="81"/>
      <c r="H12" s="82">
        <f ca="1">SUM(I12:M12)</f>
        <v>398473135.83333331</v>
      </c>
      <c r="I12" s="82">
        <f ca="1">SUMIFS(OFFSET(Calculations!$I$10:$BP$10,MATCH(OFFSET(Summary!$D12,0,$A12),OFFSET(Calculations!$C$11:$C$230,0,$A12),0),0),Calculations!$I$8:$BP$8,I$6)</f>
        <v>-949947.33333333337</v>
      </c>
      <c r="J12" s="82">
        <f ca="1">SUMIFS(OFFSET(Calculations!$I$10:$BP$10,MATCH(OFFSET(Summary!$D12,0,$A12),OFFSET(Calculations!$C$11:$C$230,0,$A12),0),0),Calculations!$I$8:$BP$8,J$6)</f>
        <v>-548621.33333333326</v>
      </c>
      <c r="K12" s="82">
        <f ca="1">SUMIFS(OFFSET(Calculations!$I$10:$BP$10,MATCH(OFFSET(Summary!$D12,0,$A12),OFFSET(Calculations!$C$11:$C$230,0,$A12),0),0),Calculations!$I$8:$BP$8,K$6)</f>
        <v>20720097.5</v>
      </c>
      <c r="L12" s="82">
        <f ca="1">SUMIFS(OFFSET(Calculations!$I$10:$BP$10,MATCH(OFFSET(Summary!$D12,0,$A12),OFFSET(Calculations!$C$11:$C$230,0,$A12),0),0),Calculations!$I$8:$BP$8,L$6)</f>
        <v>75964924.999999985</v>
      </c>
      <c r="M12" s="82">
        <f ca="1">SUMIFS(OFFSET(Calculations!$I$10:$BP$10,MATCH(OFFSET(Summary!$D12,0,$A12),OFFSET(Calculations!$C$11:$C$230,0,$A12),0),0),Calculations!$I$8:$BP$8,M$6)</f>
        <v>303286682</v>
      </c>
      <c r="O12" s="87" t="s">
        <v>38</v>
      </c>
      <c r="P12" s="87"/>
      <c r="Q12" s="90">
        <f ca="1">Calculations!H22</f>
        <v>472328145</v>
      </c>
    </row>
    <row r="13" spans="1:26" x14ac:dyDescent="0.2">
      <c r="A13" s="75">
        <f t="shared" si="2"/>
        <v>0</v>
      </c>
      <c r="B13" s="75"/>
      <c r="D13" t="s">
        <v>39</v>
      </c>
      <c r="H13" s="73">
        <f ca="1">H12/H10</f>
        <v>0.84363623055605397</v>
      </c>
      <c r="I13" s="73">
        <f ca="1">I12/I10</f>
        <v>-5.0804756301921774</v>
      </c>
      <c r="J13" s="73">
        <f t="shared" ref="J13:M13" ca="1" si="3">J12/J10</f>
        <v>-0.12823768473674038</v>
      </c>
      <c r="K13" s="73">
        <f t="shared" ca="1" si="3"/>
        <v>0.69259128031012696</v>
      </c>
      <c r="L13" s="73">
        <f t="shared" ca="1" si="3"/>
        <v>0.81961870132952808</v>
      </c>
      <c r="M13" s="73">
        <f t="shared" ca="1" si="3"/>
        <v>0.8784222449797543</v>
      </c>
      <c r="O13" s="87" t="s">
        <v>40</v>
      </c>
      <c r="P13" s="87"/>
      <c r="Q13" s="90">
        <f ca="1">Calculations!H92</f>
        <v>264538615.4588632</v>
      </c>
    </row>
    <row r="14" spans="1:26" x14ac:dyDescent="0.2">
      <c r="A14" s="75">
        <f t="shared" si="2"/>
        <v>1</v>
      </c>
      <c r="B14" s="75"/>
      <c r="O14" s="87" t="s">
        <v>41</v>
      </c>
      <c r="P14" s="87"/>
      <c r="Q14" s="90">
        <f ca="1">Calculations!H227</f>
        <v>248481278.8605454</v>
      </c>
    </row>
    <row r="15" spans="1:26" x14ac:dyDescent="0.2">
      <c r="A15" s="75">
        <f t="shared" si="2"/>
        <v>0</v>
      </c>
      <c r="B15" s="75"/>
      <c r="D15" t="str">
        <f>Calculations!C77</f>
        <v>Total Indirect Costs</v>
      </c>
      <c r="H15" s="72">
        <f t="shared" ref="H15:H22" ca="1" si="4">SUM(I15:M15)</f>
        <v>25912321.940000005</v>
      </c>
      <c r="I15" s="72">
        <f ca="1">SUMIFS(OFFSET(Calculations!$I$10:$BP$10,MATCH(OFFSET(Summary!$D15,0,$A15),OFFSET(Calculations!$C$11:$C$230,0,$A15),0),0),Calculations!$I$8:$BP$8,I$6)</f>
        <v>629088.12666666659</v>
      </c>
      <c r="J15" s="72">
        <f ca="1">SUMIFS(OFFSET(Calculations!$I$10:$BP$10,MATCH(OFFSET(Summary!$D15,0,$A15),OFFSET(Calculations!$C$11:$C$230,0,$A15),0),0),Calculations!$I$8:$BP$8,J$6)</f>
        <v>1710347.6533333331</v>
      </c>
      <c r="K15" s="72">
        <f ca="1">SUMIFS(OFFSET(Calculations!$I$10:$BP$10,MATCH(OFFSET(Summary!$D15,0,$A15),OFFSET(Calculations!$C$11:$C$230,0,$A15),0),0),Calculations!$I$8:$BP$8,K$6)</f>
        <v>3506246.8000000007</v>
      </c>
      <c r="L15" s="72">
        <f ca="1">SUMIFS(OFFSET(Calculations!$I$10:$BP$10,MATCH(OFFSET(Summary!$D15,0,$A15),OFFSET(Calculations!$C$11:$C$230,0,$A15),0),0),Calculations!$I$8:$BP$8,L$6)</f>
        <v>5987424.0000000009</v>
      </c>
      <c r="M15" s="72">
        <f ca="1">SUMIFS(OFFSET(Calculations!$I$10:$BP$10,MATCH(OFFSET(Summary!$D15,0,$A15),OFFSET(Calculations!$C$11:$C$230,0,$A15),0),0),Calculations!$I$8:$BP$8,M$6)</f>
        <v>14079215.360000003</v>
      </c>
      <c r="O15" s="87" t="s">
        <v>42</v>
      </c>
      <c r="P15" s="87"/>
      <c r="Q15" s="87">
        <f ca="1">M6</f>
        <v>5</v>
      </c>
    </row>
    <row r="16" spans="1:26" x14ac:dyDescent="0.2">
      <c r="A16" s="75">
        <f t="shared" si="2"/>
        <v>0</v>
      </c>
      <c r="B16" s="75"/>
      <c r="D16" s="81" t="str">
        <f>Calculations!C79</f>
        <v>EBITDA</v>
      </c>
      <c r="E16" s="81"/>
      <c r="F16" s="81"/>
      <c r="G16" s="81"/>
      <c r="H16" s="82">
        <f t="shared" ca="1" si="4"/>
        <v>372560813.89333332</v>
      </c>
      <c r="I16" s="82">
        <f ca="1">SUMIFS(OFFSET(Calculations!$I$10:$BP$10,MATCH(OFFSET(Summary!$D16,0,$A16),OFFSET(Calculations!$C$11:$C$230,0,$A16),0),0),Calculations!$I$8:$BP$8,I$6)</f>
        <v>-1579035.46</v>
      </c>
      <c r="J16" s="82">
        <f ca="1">SUMIFS(OFFSET(Calculations!$I$10:$BP$10,MATCH(OFFSET(Summary!$D16,0,$A16),OFFSET(Calculations!$C$11:$C$230,0,$A16),0),0),Calculations!$I$8:$BP$8,J$6)</f>
        <v>-2258968.9866666659</v>
      </c>
      <c r="K16" s="82">
        <f ca="1">SUMIFS(OFFSET(Calculations!$I$10:$BP$10,MATCH(OFFSET(Summary!$D16,0,$A16),OFFSET(Calculations!$C$11:$C$230,0,$A16),0),0),Calculations!$I$8:$BP$8,K$6)</f>
        <v>17213850.699999996</v>
      </c>
      <c r="L16" s="82">
        <f ca="1">SUMIFS(OFFSET(Calculations!$I$10:$BP$10,MATCH(OFFSET(Summary!$D16,0,$A16),OFFSET(Calculations!$C$11:$C$230,0,$A16),0),0),Calculations!$I$8:$BP$8,L$6)</f>
        <v>69977500.999999985</v>
      </c>
      <c r="M16" s="82">
        <f ca="1">SUMIFS(OFFSET(Calculations!$I$10:$BP$10,MATCH(OFFSET(Summary!$D16,0,$A16),OFFSET(Calculations!$C$11:$C$230,0,$A16),0),0),Calculations!$I$8:$BP$8,M$6)</f>
        <v>289207466.63999999</v>
      </c>
    </row>
    <row r="17" spans="1:17" ht="15.75" thickBot="1" x14ac:dyDescent="0.3">
      <c r="A17" s="75">
        <f t="shared" si="2"/>
        <v>1</v>
      </c>
      <c r="B17" s="75"/>
      <c r="E17" t="str">
        <f>Calculations!D81</f>
        <v>Depreciation Expense</v>
      </c>
      <c r="H17" s="72">
        <f t="shared" ca="1" si="4"/>
        <v>188000.00000000006</v>
      </c>
      <c r="I17" s="72">
        <f ca="1">SUMIFS(OFFSET(Calculations!$I$10:$BP$10,MATCH(OFFSET(Summary!$D17,0,$A17),OFFSET(Calculations!$C$11:$C$230,0,$A17),0),0),Calculations!$I$8:$BP$8,I$6)</f>
        <v>14575.000000000004</v>
      </c>
      <c r="J17" s="72">
        <f ca="1">SUMIFS(OFFSET(Calculations!$I$10:$BP$10,MATCH(OFFSET(Summary!$D17,0,$A17),OFFSET(Calculations!$C$11:$C$230,0,$A17),0),0),Calculations!$I$8:$BP$8,J$6)</f>
        <v>45166.666666666672</v>
      </c>
      <c r="K17" s="72">
        <f ca="1">SUMIFS(OFFSET(Calculations!$I$10:$BP$10,MATCH(OFFSET(Summary!$D17,0,$A17),OFFSET(Calculations!$C$11:$C$230,0,$A17),0),0),Calculations!$I$8:$BP$8,K$6)</f>
        <v>63925.000000000007</v>
      </c>
      <c r="L17" s="72">
        <f ca="1">SUMIFS(OFFSET(Calculations!$I$10:$BP$10,MATCH(OFFSET(Summary!$D17,0,$A17),OFFSET(Calculations!$C$11:$C$230,0,$A17),0),0),Calculations!$I$8:$BP$8,L$6)</f>
        <v>48833.333333333336</v>
      </c>
      <c r="M17" s="72">
        <f ca="1">SUMIFS(OFFSET(Calculations!$I$10:$BP$10,MATCH(OFFSET(Summary!$D17,0,$A17),OFFSET(Calculations!$C$11:$C$230,0,$A17),0),0),Calculations!$I$8:$BP$8,M$6)</f>
        <v>15500.000000000016</v>
      </c>
      <c r="O17" s="68" t="s">
        <v>43</v>
      </c>
      <c r="P17" s="68"/>
      <c r="Q17" s="68"/>
    </row>
    <row r="18" spans="1:17" x14ac:dyDescent="0.2">
      <c r="A18" s="75">
        <f t="shared" si="2"/>
        <v>0</v>
      </c>
      <c r="B18" s="75"/>
      <c r="D18" s="81" t="str">
        <f>Calculations!C83</f>
        <v>EBIT</v>
      </c>
      <c r="E18" s="81"/>
      <c r="F18" s="81"/>
      <c r="G18" s="81"/>
      <c r="H18" s="82">
        <f t="shared" ca="1" si="4"/>
        <v>372372813.89333332</v>
      </c>
      <c r="I18" s="82">
        <f ca="1">SUMIFS(OFFSET(Calculations!$I$10:$BP$10,MATCH(OFFSET(Summary!$D18,0,$A18),OFFSET(Calculations!$C$11:$C$230,0,$A18),0),0),Calculations!$I$8:$BP$8,I$6)</f>
        <v>-1593610.4599999997</v>
      </c>
      <c r="J18" s="82">
        <f ca="1">SUMIFS(OFFSET(Calculations!$I$10:$BP$10,MATCH(OFFSET(Summary!$D18,0,$A18),OFFSET(Calculations!$C$11:$C$230,0,$A18),0),0),Calculations!$I$8:$BP$8,J$6)</f>
        <v>-2304135.6533333333</v>
      </c>
      <c r="K18" s="82">
        <f ca="1">SUMIFS(OFFSET(Calculations!$I$10:$BP$10,MATCH(OFFSET(Summary!$D18,0,$A18),OFFSET(Calculations!$C$11:$C$230,0,$A18),0),0),Calculations!$I$8:$BP$8,K$6)</f>
        <v>17149925.699999996</v>
      </c>
      <c r="L18" s="82">
        <f ca="1">SUMIFS(OFFSET(Calculations!$I$10:$BP$10,MATCH(OFFSET(Summary!$D18,0,$A18),OFFSET(Calculations!$C$11:$C$230,0,$A18),0),0),Calculations!$I$8:$BP$8,L$6)</f>
        <v>69928667.666666657</v>
      </c>
      <c r="M18" s="82">
        <f ca="1">SUMIFS(OFFSET(Calculations!$I$10:$BP$10,MATCH(OFFSET(Summary!$D18,0,$A18),OFFSET(Calculations!$C$11:$C$230,0,$A18),0),0),Calculations!$I$8:$BP$8,M$6)</f>
        <v>289191966.63999999</v>
      </c>
      <c r="O18" s="87" t="s">
        <v>44</v>
      </c>
      <c r="P18" s="87"/>
      <c r="Q18" s="89">
        <f>AssmWACC</f>
        <v>0.1</v>
      </c>
    </row>
    <row r="19" spans="1:17" x14ac:dyDescent="0.2">
      <c r="A19" s="75">
        <f t="shared" si="2"/>
        <v>1</v>
      </c>
      <c r="B19" s="75"/>
      <c r="E19" t="str">
        <f>Calculations!D85</f>
        <v>Interest Income</v>
      </c>
      <c r="H19" s="72">
        <f t="shared" ca="1" si="4"/>
        <v>5618446.2150426544</v>
      </c>
      <c r="I19" s="72">
        <f ca="1">SUMIFS(OFFSET(Calculations!$I$10:$BP$10,MATCH(OFFSET(Summary!$D19,0,$A19),OFFSET(Calculations!$C$11:$C$230,0,$A19),0),0),Calculations!$I$8:$BP$8,I$6)</f>
        <v>39237.004977381468</v>
      </c>
      <c r="J19" s="72">
        <f ca="1">SUMIFS(OFFSET(Calculations!$I$10:$BP$10,MATCH(OFFSET(Summary!$D19,0,$A19),OFFSET(Calculations!$C$11:$C$230,0,$A19),0),0),Calculations!$I$8:$BP$8,J$6)</f>
        <v>-58859.952812996366</v>
      </c>
      <c r="K19" s="72">
        <f ca="1">SUMIFS(OFFSET(Calculations!$I$10:$BP$10,MATCH(OFFSET(Summary!$D19,0,$A19),OFFSET(Calculations!$C$11:$C$230,0,$A19),0),0),Calculations!$I$8:$BP$8,K$6)</f>
        <v>55257.766921920251</v>
      </c>
      <c r="L19" s="72">
        <f ca="1">SUMIFS(OFFSET(Calculations!$I$10:$BP$10,MATCH(OFFSET(Summary!$D19,0,$A19),OFFSET(Calculations!$C$11:$C$230,0,$A19),0),0),Calculations!$I$8:$BP$8,L$6)</f>
        <v>939014.13063709624</v>
      </c>
      <c r="M19" s="72">
        <f ca="1">SUMIFS(OFFSET(Calculations!$I$10:$BP$10,MATCH(OFFSET(Summary!$D19,0,$A19),OFFSET(Calculations!$C$11:$C$230,0,$A19),0),0),Calculations!$I$8:$BP$8,M$6)</f>
        <v>4643797.2653192524</v>
      </c>
      <c r="O19" s="87" t="s">
        <v>45</v>
      </c>
      <c r="P19" s="87"/>
      <c r="Q19" s="90">
        <f ca="1">Calculations!H279</f>
        <v>358612302.33449161</v>
      </c>
    </row>
    <row r="20" spans="1:17" x14ac:dyDescent="0.2">
      <c r="A20" s="75">
        <f t="shared" si="2"/>
        <v>1</v>
      </c>
      <c r="B20" s="75"/>
      <c r="E20" t="str">
        <f>Calculations!D86</f>
        <v>Interest Expense</v>
      </c>
      <c r="H20" s="72">
        <f t="shared" ca="1" si="4"/>
        <v>78952.31</v>
      </c>
      <c r="I20" s="72">
        <f ca="1">SUMIFS(OFFSET(Calculations!$I$10:$BP$10,MATCH(OFFSET(Summary!$D20,0,$A20),OFFSET(Calculations!$C$11:$C$230,0,$A20),0),0),Calculations!$I$8:$BP$8,I$6)</f>
        <v>33591.5</v>
      </c>
      <c r="J20" s="72">
        <f ca="1">SUMIFS(OFFSET(Calculations!$I$10:$BP$10,MATCH(OFFSET(Summary!$D20,0,$A20),OFFSET(Calculations!$C$11:$C$230,0,$A20),0),0),Calculations!$I$8:$BP$8,J$6)</f>
        <v>30722.639999999999</v>
      </c>
      <c r="K20" s="72">
        <f ca="1">SUMIFS(OFFSET(Calculations!$I$10:$BP$10,MATCH(OFFSET(Summary!$D20,0,$A20),OFFSET(Calculations!$C$11:$C$230,0,$A20),0),0),Calculations!$I$8:$BP$8,K$6)</f>
        <v>13894.06</v>
      </c>
      <c r="L20" s="72">
        <f ca="1">SUMIFS(OFFSET(Calculations!$I$10:$BP$10,MATCH(OFFSET(Summary!$D20,0,$A20),OFFSET(Calculations!$C$11:$C$230,0,$A20),0),0),Calculations!$I$8:$BP$8,L$6)</f>
        <v>744.11</v>
      </c>
      <c r="M20" s="72">
        <f ca="1">SUMIFS(OFFSET(Calculations!$I$10:$BP$10,MATCH(OFFSET(Summary!$D20,0,$A20),OFFSET(Calculations!$C$11:$C$230,0,$A20),0),0),Calculations!$I$8:$BP$8,M$6)</f>
        <v>0</v>
      </c>
      <c r="O20" s="87" t="s">
        <v>46</v>
      </c>
      <c r="P20" s="87"/>
      <c r="Q20" s="91">
        <f ca="1">Calculations!H280</f>
        <v>3.7125931978225712</v>
      </c>
    </row>
    <row r="21" spans="1:17" x14ac:dyDescent="0.2">
      <c r="A21" s="75">
        <f t="shared" si="2"/>
        <v>0</v>
      </c>
      <c r="B21" s="75"/>
      <c r="D21" s="81" t="str">
        <f>Calculations!C88</f>
        <v>EBT</v>
      </c>
      <c r="E21" s="81"/>
      <c r="F21" s="81"/>
      <c r="G21" s="81"/>
      <c r="H21" s="82">
        <f t="shared" ca="1" si="4"/>
        <v>377912307.79837596</v>
      </c>
      <c r="I21" s="82">
        <f ca="1">SUMIFS(OFFSET(Calculations!$I$10:$BP$10,MATCH(OFFSET(Summary!$D21,0,$A21),OFFSET(Calculations!$C$11:$C$230,0,$A21),0),0),Calculations!$I$8:$BP$8,I$6)</f>
        <v>-1587964.9550226186</v>
      </c>
      <c r="J21" s="82">
        <f ca="1">SUMIFS(OFFSET(Calculations!$I$10:$BP$10,MATCH(OFFSET(Summary!$D21,0,$A21),OFFSET(Calculations!$C$11:$C$230,0,$A21),0),0),Calculations!$I$8:$BP$8,J$6)</f>
        <v>-2393718.2461463292</v>
      </c>
      <c r="K21" s="82">
        <f ca="1">SUMIFS(OFFSET(Calculations!$I$10:$BP$10,MATCH(OFFSET(Summary!$D21,0,$A21),OFFSET(Calculations!$C$11:$C$230,0,$A21),0),0),Calculations!$I$8:$BP$8,K$6)</f>
        <v>17191289.406921919</v>
      </c>
      <c r="L21" s="82">
        <f ca="1">SUMIFS(OFFSET(Calculations!$I$10:$BP$10,MATCH(OFFSET(Summary!$D21,0,$A21),OFFSET(Calculations!$C$11:$C$230,0,$A21),0),0),Calculations!$I$8:$BP$8,L$6)</f>
        <v>70866937.687303752</v>
      </c>
      <c r="M21" s="82">
        <f ca="1">SUMIFS(OFFSET(Calculations!$I$10:$BP$10,MATCH(OFFSET(Summary!$D21,0,$A21),OFFSET(Calculations!$C$11:$C$230,0,$A21),0),0),Calculations!$I$8:$BP$8,M$6)</f>
        <v>293835763.90531927</v>
      </c>
      <c r="O21" s="87" t="s">
        <v>47</v>
      </c>
      <c r="P21" s="87"/>
      <c r="Q21" s="87">
        <f ca="1">Calculations!H271</f>
        <v>32</v>
      </c>
    </row>
    <row r="22" spans="1:17" x14ac:dyDescent="0.2">
      <c r="A22" s="75">
        <f t="shared" si="2"/>
        <v>1</v>
      </c>
      <c r="B22" s="75"/>
      <c r="E22" t="str">
        <f>Calculations!D90</f>
        <v>Tax expense</v>
      </c>
      <c r="H22" s="72">
        <f t="shared" ca="1" si="4"/>
        <v>113373692.33951278</v>
      </c>
      <c r="I22" s="72">
        <f ca="1">SUMIFS(OFFSET(Calculations!$I$10:$BP$10,MATCH(OFFSET(Summary!$D22,0,$A22),OFFSET(Calculations!$C$11:$C$230,0,$A22),0),0),Calculations!$I$8:$BP$8,I$6)</f>
        <v>0</v>
      </c>
      <c r="J22" s="72">
        <f ca="1">SUMIFS(OFFSET(Calculations!$I$10:$BP$10,MATCH(OFFSET(Summary!$D22,0,$A22),OFFSET(Calculations!$C$11:$C$230,0,$A22),0),0),Calculations!$I$8:$BP$8,J$6)</f>
        <v>0</v>
      </c>
      <c r="K22" s="72">
        <f ca="1">SUMIFS(OFFSET(Calculations!$I$10:$BP$10,MATCH(OFFSET(Summary!$D22,0,$A22),OFFSET(Calculations!$C$11:$C$230,0,$A22),0),0),Calculations!$I$8:$BP$8,K$6)</f>
        <v>3962881.8617258915</v>
      </c>
      <c r="L22" s="72">
        <f ca="1">SUMIFS(OFFSET(Calculations!$I$10:$BP$10,MATCH(OFFSET(Summary!$D22,0,$A22),OFFSET(Calculations!$C$11:$C$230,0,$A22),0),0),Calculations!$I$8:$BP$8,L$6)</f>
        <v>21260081.306191124</v>
      </c>
      <c r="M22" s="72">
        <f ca="1">SUMIFS(OFFSET(Calculations!$I$10:$BP$10,MATCH(OFFSET(Summary!$D22,0,$A22),OFFSET(Calculations!$C$11:$C$230,0,$A22),0),0),Calculations!$I$8:$BP$8,M$6)</f>
        <v>88150729.171595767</v>
      </c>
      <c r="O22" s="87" t="s">
        <v>48</v>
      </c>
      <c r="P22" s="87"/>
      <c r="Q22" s="90">
        <f ca="1">-Calculations!H272</f>
        <v>3133646.2275999994</v>
      </c>
    </row>
    <row r="23" spans="1:17" ht="15.75" thickBot="1" x14ac:dyDescent="0.3">
      <c r="A23" s="75">
        <f t="shared" si="2"/>
        <v>0</v>
      </c>
      <c r="B23" s="75"/>
      <c r="D23" s="43" t="str">
        <f>Calculations!C92</f>
        <v>NPAT</v>
      </c>
      <c r="E23" s="43"/>
      <c r="F23" s="43"/>
      <c r="G23" s="43"/>
      <c r="H23" s="44">
        <f ca="1">SUM(I23:M23)</f>
        <v>264538615.45886317</v>
      </c>
      <c r="I23" s="44">
        <f ca="1">SUMIFS(OFFSET(Calculations!$I$10:$BP$10,MATCH(OFFSET(Summary!$D23,0,$A23),OFFSET(Calculations!$C$11:$C$230,0,$A23),0),0),Calculations!$I$8:$BP$8,I$6)</f>
        <v>-1587964.9550226186</v>
      </c>
      <c r="J23" s="44">
        <f ca="1">SUMIFS(OFFSET(Calculations!$I$10:$BP$10,MATCH(OFFSET(Summary!$D23,0,$A23),OFFSET(Calculations!$C$11:$C$230,0,$A23),0),0),Calculations!$I$8:$BP$8,J$6)</f>
        <v>-2393718.2461463292</v>
      </c>
      <c r="K23" s="44">
        <f ca="1">SUMIFS(OFFSET(Calculations!$I$10:$BP$10,MATCH(OFFSET(Summary!$D23,0,$A23),OFFSET(Calculations!$C$11:$C$230,0,$A23),0),0),Calculations!$I$8:$BP$8,K$6)</f>
        <v>13228407.545196028</v>
      </c>
      <c r="L23" s="44">
        <f ca="1">SUMIFS(OFFSET(Calculations!$I$10:$BP$10,MATCH(OFFSET(Summary!$D23,0,$A23),OFFSET(Calculations!$C$11:$C$230,0,$A23),0),0),Calculations!$I$8:$BP$8,L$6)</f>
        <v>49606856.381112628</v>
      </c>
      <c r="M23" s="44">
        <f ca="1">SUMIFS(OFFSET(Calculations!$I$10:$BP$10,MATCH(OFFSET(Summary!$D23,0,$A23),OFFSET(Calculations!$C$11:$C$230,0,$A23),0),0),Calculations!$I$8:$BP$8,M$6)</f>
        <v>205685034.73372346</v>
      </c>
    </row>
    <row r="24" spans="1:17" ht="13.5" thickTop="1" x14ac:dyDescent="0.2"/>
    <row r="25" spans="1:17" s="79" customFormat="1" ht="11.25" x14ac:dyDescent="0.2">
      <c r="A25" s="78"/>
      <c r="B25" s="78"/>
      <c r="D25" s="79" t="s">
        <v>49</v>
      </c>
      <c r="H25" s="80">
        <f ca="1">ROUND(H12-H15-H17+H19-H20-H22-H23,0)</f>
        <v>0</v>
      </c>
      <c r="I25" s="80">
        <f ca="1">ROUND(I12-I15-I17+I19-I20-I22-I23,0)</f>
        <v>0</v>
      </c>
      <c r="J25" s="80">
        <f t="shared" ref="J25:M25" ca="1" si="5">ROUND(J12-J15-J17+J19-J20-J22-J23,0)</f>
        <v>0</v>
      </c>
      <c r="K25" s="80">
        <f t="shared" ca="1" si="5"/>
        <v>0</v>
      </c>
      <c r="L25" s="80">
        <f t="shared" ca="1" si="5"/>
        <v>0</v>
      </c>
      <c r="M25" s="80">
        <f t="shared" ca="1" si="5"/>
        <v>0</v>
      </c>
      <c r="N25" s="80" t="b">
        <f ca="1">COUNTIF(H25:M25,0)=COUNT(H25:M25)</f>
        <v>1</v>
      </c>
    </row>
    <row r="27" spans="1:17" x14ac:dyDescent="0.2">
      <c r="E27" t="s">
        <v>50</v>
      </c>
      <c r="I27" s="114">
        <f ca="1">INDEX(Calculations!$I$7:$BP$231,MATCH(Summary!$E27,Calculations!$D$7:$D$231,0),MATCH(Summary!I$7,Calculations!$I$6:$BP$6,0))</f>
        <v>2239</v>
      </c>
      <c r="J27" s="114">
        <f ca="1">INDEX(Calculations!$I$7:$BP$231,MATCH(Summary!$E27,Calculations!$D$7:$D$231,0),MATCH(Summary!J$7,Calculations!$I$6:$BP$6,0))</f>
        <v>51407</v>
      </c>
      <c r="K27" s="114">
        <f ca="1">INDEX(Calculations!$I$7:$BP$231,MATCH(Summary!$E27,Calculations!$D$7:$D$231,0),MATCH(Summary!K$7,Calculations!$I$6:$BP$6,0))</f>
        <v>158703</v>
      </c>
      <c r="L27" s="114">
        <f ca="1">INDEX(Calculations!$I$7:$BP$231,MATCH(Summary!$E27,Calculations!$D$7:$D$231,0),MATCH(Summary!L$7,Calculations!$I$6:$BP$6,0))</f>
        <v>492661</v>
      </c>
      <c r="M27" s="114">
        <f ca="1">INDEX(Calculations!$I$7:$BP$231,MATCH(Summary!$E27,Calculations!$D$7:$D$231,0),MATCH(Summary!M$7,Calculations!$I$6:$BP$6,0))</f>
        <v>1529387</v>
      </c>
    </row>
    <row r="28" spans="1:17" x14ac:dyDescent="0.2">
      <c r="E28" t="s">
        <v>51</v>
      </c>
      <c r="I28" s="115">
        <f ca="1">I23/I27</f>
        <v>-709.22954668272382</v>
      </c>
      <c r="J28" s="115">
        <f t="shared" ref="J28:M28" ca="1" si="6">J23/J27</f>
        <v>-46.564052485971352</v>
      </c>
      <c r="K28" s="115">
        <f t="shared" ca="1" si="6"/>
        <v>83.353229272263462</v>
      </c>
      <c r="L28" s="115">
        <f t="shared" ca="1" si="6"/>
        <v>100.69166502140951</v>
      </c>
      <c r="M28" s="115">
        <f t="shared" ca="1" si="6"/>
        <v>134.48854654428439</v>
      </c>
    </row>
    <row r="30" spans="1:17" ht="15" x14ac:dyDescent="0.25">
      <c r="C30" s="83" t="s">
        <v>52</v>
      </c>
      <c r="D30" s="83"/>
      <c r="E30" s="83"/>
      <c r="F30" s="83"/>
      <c r="G30" s="83"/>
      <c r="H30" s="83"/>
      <c r="I30" s="83"/>
      <c r="J30" s="83"/>
      <c r="K30" s="83"/>
      <c r="L30" s="83"/>
      <c r="M30" s="83"/>
    </row>
    <row r="31" spans="1:17" ht="15" x14ac:dyDescent="0.25">
      <c r="D31" s="76" t="s">
        <v>53</v>
      </c>
    </row>
    <row r="32" spans="1:17" ht="15" x14ac:dyDescent="0.25">
      <c r="D32" s="76"/>
      <c r="E32" t="str">
        <f>Calculations!D101</f>
        <v>Total Current Assets</v>
      </c>
      <c r="I32" s="72">
        <f ca="1">INDEX(Calculations!$I$95:$BP$231,MATCH(Summary!$E32,Calculations!$D$95:$D$231,0),MATCH(Summary!I$7,Calculations!$I$6:$BP$6,0))</f>
        <v>165692.84378945606</v>
      </c>
      <c r="J32" s="72">
        <f ca="1">INDEX(Calculations!$I$95:$BP$231,MATCH(Summary!$E32,Calculations!$D$95:$D$231,0),MATCH(Summary!J$7,Calculations!$I$6:$BP$6,0))</f>
        <v>-2495055.2553097461</v>
      </c>
      <c r="K32" s="72">
        <f ca="1">INDEX(Calculations!$I$95:$BP$231,MATCH(Summary!$E32,Calculations!$D$95:$D$231,0),MATCH(Summary!K$7,Calculations!$I$6:$BP$6,0))</f>
        <v>11269787.560298624</v>
      </c>
      <c r="L32" s="72">
        <f ca="1">INDEX(Calculations!$I$95:$BP$231,MATCH(Summary!$E32,Calculations!$D$95:$D$231,0),MATCH(Summary!L$7,Calculations!$I$6:$BP$6,0))</f>
        <v>63315393.993740827</v>
      </c>
      <c r="M32" s="72">
        <f ca="1">INDEX(Calculations!$I$95:$BP$231,MATCH(Summary!$E32,Calculations!$D$95:$D$231,0),MATCH(Summary!M$7,Calculations!$I$6:$BP$6,0))</f>
        <v>278982398.8605454</v>
      </c>
    </row>
    <row r="33" spans="1:15" ht="15" x14ac:dyDescent="0.25">
      <c r="D33" s="76"/>
      <c r="E33" t="str">
        <f>Calculations!D107</f>
        <v>Total Non-Current Assets</v>
      </c>
      <c r="I33" s="72">
        <f ca="1">INDEX(Calculations!$I$95:$BP$231,MATCH(Summary!$E33,Calculations!$D$95:$D$231,0),MATCH(Summary!I$7,Calculations!$I$6:$BP$6,0))</f>
        <v>41425</v>
      </c>
      <c r="J33" s="72">
        <f ca="1">INDEX(Calculations!$I$95:$BP$231,MATCH(Summary!$E33,Calculations!$D$95:$D$231,0),MATCH(Summary!J$7,Calculations!$I$6:$BP$6,0))</f>
        <v>62258.333333333321</v>
      </c>
      <c r="K33" s="72">
        <f ca="1">INDEX(Calculations!$I$95:$BP$231,MATCH(Summary!$E33,Calculations!$D$95:$D$231,0),MATCH(Summary!K$7,Calculations!$I$6:$BP$6,0))</f>
        <v>64333.333333333328</v>
      </c>
      <c r="L33" s="72">
        <f ca="1">INDEX(Calculations!$I$95:$BP$231,MATCH(Summary!$E33,Calculations!$D$95:$D$231,0),MATCH(Summary!L$7,Calculations!$I$6:$BP$6,0))</f>
        <v>15500</v>
      </c>
      <c r="M33" s="72">
        <f ca="1">INDEX(Calculations!$I$95:$BP$231,MATCH(Summary!$E33,Calculations!$D$95:$D$231,0),MATCH(Summary!M$7,Calculations!$I$6:$BP$6,0))</f>
        <v>0</v>
      </c>
    </row>
    <row r="34" spans="1:15" ht="15" x14ac:dyDescent="0.25">
      <c r="D34" s="76" t="s">
        <v>54</v>
      </c>
      <c r="I34" s="72">
        <f ca="1">SUM(I32:I33)</f>
        <v>207117.84378945606</v>
      </c>
      <c r="J34" s="72">
        <f t="shared" ref="J34:M34" ca="1" si="7">SUM(J32:J33)</f>
        <v>-2432796.9219764126</v>
      </c>
      <c r="K34" s="72">
        <f t="shared" ca="1" si="7"/>
        <v>11334120.893631957</v>
      </c>
      <c r="L34" s="72">
        <f t="shared" ca="1" si="7"/>
        <v>63330893.993740827</v>
      </c>
      <c r="M34" s="72">
        <f t="shared" ca="1" si="7"/>
        <v>278982398.8605454</v>
      </c>
    </row>
    <row r="35" spans="1:15" ht="15" x14ac:dyDescent="0.25">
      <c r="D35" s="76"/>
    </row>
    <row r="36" spans="1:15" ht="15" x14ac:dyDescent="0.25">
      <c r="D36" s="76" t="s">
        <v>55</v>
      </c>
    </row>
    <row r="37" spans="1:15" ht="15" x14ac:dyDescent="0.25">
      <c r="D37" s="76"/>
      <c r="E37" t="str">
        <f>Calculations!D115</f>
        <v>Total Current Liabilities</v>
      </c>
      <c r="I37" s="72">
        <f ca="1">INDEX(Calculations!$I$95:$BP$231,MATCH(Summary!$E37,Calculations!$D$95:$D$231,0),MATCH(Summary!I$7,Calculations!$I$6:$BP$6,0))</f>
        <v>31229.374666666659</v>
      </c>
      <c r="J37" s="72">
        <f ca="1">INDEX(Calculations!$I$95:$BP$231,MATCH(Summary!$E37,Calculations!$D$95:$D$231,0),MATCH(Summary!J$7,Calculations!$I$6:$BP$6,0))</f>
        <v>113960.9786666666</v>
      </c>
      <c r="K37" s="72">
        <f ca="1">INDEX(Calculations!$I$95:$BP$231,MATCH(Summary!$E37,Calculations!$D$95:$D$231,0),MATCH(Summary!K$7,Calculations!$I$6:$BP$6,0))</f>
        <v>998227.95976960135</v>
      </c>
      <c r="L37" s="72">
        <f ca="1">INDEX(Calculations!$I$95:$BP$231,MATCH(Summary!$E37,Calculations!$D$95:$D$231,0),MATCH(Summary!L$7,Calculations!$I$6:$BP$6,0))</f>
        <v>3477313.2686011149</v>
      </c>
      <c r="M37" s="72">
        <f ca="1">INDEX(Calculations!$I$95:$BP$231,MATCH(Summary!$E37,Calculations!$D$95:$D$231,0),MATCH(Summary!M$7,Calculations!$I$6:$BP$6,0))</f>
        <v>13443783.401682217</v>
      </c>
    </row>
    <row r="38" spans="1:15" ht="15" x14ac:dyDescent="0.25">
      <c r="D38" s="76"/>
      <c r="E38" t="str">
        <f>Calculations!D119</f>
        <v>Total Non-Current Liabilities</v>
      </c>
      <c r="I38" s="72">
        <f ca="1">INDEX(Calculations!$I$95:$BP$231,MATCH(Summary!$E38,Calculations!$D$95:$D$231,0),MATCH(Summary!I$7,Calculations!$I$6:$BP$6,0))</f>
        <v>763853.42414540809</v>
      </c>
      <c r="J38" s="72">
        <f ca="1">INDEX(Calculations!$I$95:$BP$231,MATCH(Summary!$E38,Calculations!$D$95:$D$231,0),MATCH(Summary!J$7,Calculations!$I$6:$BP$6,0))</f>
        <v>434925.30052586901</v>
      </c>
      <c r="K38" s="72">
        <f ca="1">INDEX(Calculations!$I$95:$BP$231,MATCH(Summary!$E38,Calculations!$D$95:$D$231,0),MATCH(Summary!K$7,Calculations!$I$6:$BP$6,0))</f>
        <v>89168.589835276885</v>
      </c>
      <c r="L38" s="72">
        <f ca="1">INDEX(Calculations!$I$95:$BP$231,MATCH(Summary!$E38,Calculations!$D$95:$D$231,0),MATCH(Summary!L$7,Calculations!$I$6:$BP$6,0))</f>
        <v>-2.417087355919646E-10</v>
      </c>
      <c r="M38" s="72">
        <f ca="1">INDEX(Calculations!$I$95:$BP$231,MATCH(Summary!$E38,Calculations!$D$95:$D$231,0),MATCH(Summary!M$7,Calculations!$I$6:$BP$6,0))</f>
        <v>-2.5407501323944351E-10</v>
      </c>
    </row>
    <row r="39" spans="1:15" ht="15" x14ac:dyDescent="0.25">
      <c r="D39" s="76" t="s">
        <v>56</v>
      </c>
      <c r="I39" s="72">
        <f ca="1">SUM(I37:I38)</f>
        <v>795082.7988120747</v>
      </c>
      <c r="J39" s="72">
        <f t="shared" ref="J39:M39" ca="1" si="8">SUM(J37:J38)</f>
        <v>548886.27919253567</v>
      </c>
      <c r="K39" s="72">
        <f t="shared" ca="1" si="8"/>
        <v>1087396.5496048783</v>
      </c>
      <c r="L39" s="72">
        <f t="shared" ca="1" si="8"/>
        <v>3477313.2686011144</v>
      </c>
      <c r="M39" s="72">
        <f t="shared" ca="1" si="8"/>
        <v>13443783.401682217</v>
      </c>
    </row>
    <row r="40" spans="1:15" ht="15" x14ac:dyDescent="0.25">
      <c r="D40" s="76"/>
    </row>
    <row r="41" spans="1:15" ht="15" x14ac:dyDescent="0.25">
      <c r="D41" s="76" t="s">
        <v>57</v>
      </c>
      <c r="I41" s="100">
        <f ca="1">I34-I39</f>
        <v>-587964.95502261864</v>
      </c>
      <c r="J41" s="100">
        <f t="shared" ref="J41:M41" ca="1" si="9">J34-J39</f>
        <v>-2981683.2011689483</v>
      </c>
      <c r="K41" s="100">
        <f t="shared" ca="1" si="9"/>
        <v>10246724.34402708</v>
      </c>
      <c r="L41" s="100">
        <f t="shared" ca="1" si="9"/>
        <v>59853580.725139715</v>
      </c>
      <c r="M41" s="100">
        <f t="shared" ca="1" si="9"/>
        <v>265538615.45886317</v>
      </c>
    </row>
    <row r="42" spans="1:15" ht="15" x14ac:dyDescent="0.25">
      <c r="D42" s="76"/>
    </row>
    <row r="43" spans="1:15" ht="15" x14ac:dyDescent="0.25">
      <c r="D43" s="76" t="s">
        <v>58</v>
      </c>
    </row>
    <row r="44" spans="1:15" ht="15" x14ac:dyDescent="0.25">
      <c r="D44" s="76"/>
      <c r="E44" t="str">
        <f>Calculations!D126</f>
        <v>Shareholders' Equity</v>
      </c>
      <c r="I44" s="72">
        <f ca="1">INDEX(Calculations!$I$95:$BP$231,MATCH(Summary!$E44,Calculations!$D$95:$D$231,0),MATCH(Summary!I$7,Calculations!$I$6:$BP$6,0))</f>
        <v>1000000</v>
      </c>
      <c r="J44" s="72">
        <f ca="1">INDEX(Calculations!$I$95:$BP$231,MATCH(Summary!$E44,Calculations!$D$95:$D$231,0),MATCH(Summary!J$7,Calculations!$I$6:$BP$6,0))</f>
        <v>1000000</v>
      </c>
      <c r="K44" s="72">
        <f ca="1">INDEX(Calculations!$I$95:$BP$231,MATCH(Summary!$E44,Calculations!$D$95:$D$231,0),MATCH(Summary!K$7,Calculations!$I$6:$BP$6,0))</f>
        <v>1000000</v>
      </c>
      <c r="L44" s="72">
        <f ca="1">INDEX(Calculations!$I$95:$BP$231,MATCH(Summary!$E44,Calculations!$D$95:$D$231,0),MATCH(Summary!L$7,Calculations!$I$6:$BP$6,0))</f>
        <v>1000000</v>
      </c>
      <c r="M44" s="72">
        <f ca="1">INDEX(Calculations!$I$95:$BP$231,MATCH(Summary!$E44,Calculations!$D$95:$D$231,0),MATCH(Summary!M$7,Calculations!$I$6:$BP$6,0))</f>
        <v>1000000</v>
      </c>
    </row>
    <row r="45" spans="1:15" s="79" customFormat="1" ht="15" x14ac:dyDescent="0.25">
      <c r="A45" s="74"/>
      <c r="B45" s="74"/>
      <c r="C45"/>
      <c r="D45" s="76"/>
      <c r="E45" t="str">
        <f>Calculations!D127</f>
        <v>Accumulated profits/(losses)</v>
      </c>
      <c r="F45"/>
      <c r="G45"/>
      <c r="H45"/>
      <c r="I45" s="72">
        <f ca="1">INDEX(Calculations!$I$95:$BP$231,MATCH(Summary!$E45,Calculations!$D$95:$D$231,0),MATCH(Summary!I$7,Calculations!$I$6:$BP$6,0))</f>
        <v>-1587964.9550226186</v>
      </c>
      <c r="J45" s="72">
        <f ca="1">INDEX(Calculations!$I$95:$BP$231,MATCH(Summary!$E45,Calculations!$D$95:$D$231,0),MATCH(Summary!J$7,Calculations!$I$6:$BP$6,0))</f>
        <v>-3981683.2011689479</v>
      </c>
      <c r="K45" s="72">
        <f ca="1">INDEX(Calculations!$I$95:$BP$231,MATCH(Summary!$E45,Calculations!$D$95:$D$231,0),MATCH(Summary!K$7,Calculations!$I$6:$BP$6,0))</f>
        <v>9246724.3440270815</v>
      </c>
      <c r="L45" s="72">
        <f ca="1">INDEX(Calculations!$I$95:$BP$231,MATCH(Summary!$E45,Calculations!$D$95:$D$231,0),MATCH(Summary!L$7,Calculations!$I$6:$BP$6,0))</f>
        <v>58853580.725139707</v>
      </c>
      <c r="M45" s="72">
        <f ca="1">INDEX(Calculations!$I$95:$BP$231,MATCH(Summary!$E45,Calculations!$D$95:$D$231,0),MATCH(Summary!M$7,Calculations!$I$6:$BP$6,0))</f>
        <v>264538615.4588632</v>
      </c>
      <c r="N45"/>
      <c r="O45"/>
    </row>
    <row r="46" spans="1:15" ht="15" x14ac:dyDescent="0.25">
      <c r="D46" s="76" t="s">
        <v>59</v>
      </c>
      <c r="I46" s="100">
        <f ca="1">SUM(I44:I45)</f>
        <v>-587964.95502261864</v>
      </c>
      <c r="J46" s="100">
        <f t="shared" ref="J46:M46" ca="1" si="10">SUM(J44:J45)</f>
        <v>-2981683.2011689479</v>
      </c>
      <c r="K46" s="100">
        <f t="shared" ca="1" si="10"/>
        <v>10246724.344027082</v>
      </c>
      <c r="L46" s="100">
        <f t="shared" ca="1" si="10"/>
        <v>59853580.725139707</v>
      </c>
      <c r="M46" s="100">
        <f t="shared" ca="1" si="10"/>
        <v>265538615.4588632</v>
      </c>
    </row>
    <row r="47" spans="1:15" x14ac:dyDescent="0.2">
      <c r="A47" s="78"/>
      <c r="B47" s="78"/>
    </row>
    <row r="48" spans="1:15" x14ac:dyDescent="0.2">
      <c r="C48" s="79"/>
      <c r="D48" s="79" t="s">
        <v>60</v>
      </c>
      <c r="E48" s="79"/>
      <c r="F48" s="79"/>
      <c r="G48" s="79"/>
      <c r="H48" s="79"/>
      <c r="I48" s="80">
        <f ca="1">ROUND(I41-I46,0)</f>
        <v>0</v>
      </c>
      <c r="J48" s="80">
        <f t="shared" ref="J48:M48" ca="1" si="11">ROUND(J41-J46,0)</f>
        <v>0</v>
      </c>
      <c r="K48" s="80">
        <f t="shared" ca="1" si="11"/>
        <v>0</v>
      </c>
      <c r="L48" s="80">
        <f t="shared" ca="1" si="11"/>
        <v>0</v>
      </c>
      <c r="M48" s="80">
        <f t="shared" ca="1" si="11"/>
        <v>0</v>
      </c>
      <c r="N48" s="80" t="b">
        <f ca="1">COUNTIF(I48:M48,0)=COUNT(I48:M48)</f>
        <v>1</v>
      </c>
      <c r="O48" s="79"/>
    </row>
    <row r="50" spans="1:14" ht="15" x14ac:dyDescent="0.25">
      <c r="C50" s="83" t="s">
        <v>61</v>
      </c>
      <c r="D50" s="83"/>
      <c r="E50" s="83"/>
      <c r="F50" s="83"/>
      <c r="G50" s="83"/>
      <c r="H50" s="83"/>
      <c r="I50" s="83"/>
      <c r="J50" s="83"/>
      <c r="K50" s="83"/>
      <c r="L50" s="83"/>
      <c r="M50" s="83"/>
    </row>
    <row r="51" spans="1:14" x14ac:dyDescent="0.2">
      <c r="A51" s="75">
        <f t="shared" ref="A51:A53" si="12">IF(D52="",1,0)</f>
        <v>1</v>
      </c>
      <c r="B51" s="75"/>
    </row>
    <row r="52" spans="1:14" x14ac:dyDescent="0.2">
      <c r="A52" s="75">
        <f t="shared" si="12"/>
        <v>1</v>
      </c>
      <c r="B52" s="75"/>
      <c r="E52" t="str">
        <f>Calculations!D210</f>
        <v>Total Operating Cash Flows</v>
      </c>
      <c r="H52" s="72">
        <f t="shared" ref="H52:H55" ca="1" si="13">SUM(I52:M52)</f>
        <v>343612279.49333334</v>
      </c>
      <c r="I52" s="72">
        <f ca="1">SUMIFS(OFFSET(Calculations!$I$10:$BP$10,MATCH(OFFSET(Summary!$D52,0,$A51),OFFSET(Calculations!$C$11:$C$230,0,$A51),0),0),Calculations!$I$8:$BP$8,I$6)</f>
        <v>-1575284.0853333331</v>
      </c>
      <c r="J52" s="72">
        <f ca="1">SUMIFS(OFFSET(Calculations!$I$10:$BP$10,MATCH(OFFSET(Summary!$D52,0,$A51),OFFSET(Calculations!$C$11:$C$230,0,$A51),0),0),Calculations!$I$8:$BP$8,J$6)</f>
        <v>-2779353.3826666665</v>
      </c>
      <c r="K52" s="72">
        <f ca="1">SUMIFS(OFFSET(Calculations!$I$10:$BP$10,MATCH(OFFSET(Summary!$D52,0,$A51),OFFSET(Calculations!$C$11:$C$230,0,$A51),0),0),Calculations!$I$8:$BP$8,K$6)</f>
        <v>15313896.388</v>
      </c>
      <c r="L52" s="72">
        <f ca="1">SUMIFS(OFFSET(Calculations!$I$10:$BP$10,MATCH(OFFSET(Summary!$D52,0,$A51),OFFSET(Calculations!$C$11:$C$230,0,$A51),0),0),Calculations!$I$8:$BP$8,L$6)</f>
        <v>64693726.813333333</v>
      </c>
      <c r="M52" s="72">
        <f ca="1">SUMIFS(OFFSET(Calculations!$I$10:$BP$10,MATCH(OFFSET(Summary!$D52,0,$A51),OFFSET(Calculations!$C$11:$C$230,0,$A51),0),0),Calculations!$I$8:$BP$8,M$6)</f>
        <v>267959293.76000002</v>
      </c>
    </row>
    <row r="53" spans="1:14" x14ac:dyDescent="0.2">
      <c r="A53" s="75">
        <f t="shared" si="12"/>
        <v>1</v>
      </c>
      <c r="B53" s="75"/>
      <c r="E53" t="str">
        <f>Calculations!D215</f>
        <v>Total Investing Cash Flows</v>
      </c>
      <c r="H53" s="72">
        <f t="shared" ca="1" si="13"/>
        <v>-188000</v>
      </c>
      <c r="I53" s="72">
        <f ca="1">SUMIFS(OFFSET(Calculations!$I$10:$BP$10,MATCH(OFFSET(Summary!$D53,0,$A52),OFFSET(Calculations!$C$11:$C$230,0,$A52),0),0),Calculations!$I$8:$BP$8,I$6)</f>
        <v>-56000</v>
      </c>
      <c r="J53" s="72">
        <f ca="1">SUMIFS(OFFSET(Calculations!$I$10:$BP$10,MATCH(OFFSET(Summary!$D53,0,$A52),OFFSET(Calculations!$C$11:$C$230,0,$A52),0),0),Calculations!$I$8:$BP$8,J$6)</f>
        <v>-66000</v>
      </c>
      <c r="K53" s="72">
        <f ca="1">SUMIFS(OFFSET(Calculations!$I$10:$BP$10,MATCH(OFFSET(Summary!$D53,0,$A52),OFFSET(Calculations!$C$11:$C$230,0,$A52),0),0),Calculations!$I$8:$BP$8,K$6)</f>
        <v>-66000</v>
      </c>
      <c r="L53" s="72">
        <f ca="1">SUMIFS(OFFSET(Calculations!$I$10:$BP$10,MATCH(OFFSET(Summary!$D53,0,$A52),OFFSET(Calculations!$C$11:$C$230,0,$A52),0),0),Calculations!$I$8:$BP$8,L$6)</f>
        <v>0</v>
      </c>
      <c r="M53" s="72">
        <f ca="1">SUMIFS(OFFSET(Calculations!$I$10:$BP$10,MATCH(OFFSET(Summary!$D53,0,$A52),OFFSET(Calculations!$C$11:$C$230,0,$A52),0),0),Calculations!$I$8:$BP$8,M$6)</f>
        <v>0</v>
      </c>
    </row>
    <row r="54" spans="1:14" x14ac:dyDescent="0.2">
      <c r="E54" t="str">
        <f>Calculations!D225</f>
        <v>Total Financing Cash Flows</v>
      </c>
      <c r="H54" s="72">
        <f t="shared" ca="1" si="13"/>
        <v>-94943000.632787913</v>
      </c>
      <c r="I54" s="72">
        <f ca="1">SUMIFS(OFFSET(Calculations!$I$10:$BP$10,MATCH(OFFSET(Summary!$D54,0,$A53),OFFSET(Calculations!$C$11:$C$230,0,$A53),0),0),Calculations!$I$8:$BP$8,I$6)</f>
        <v>1769498.9291227898</v>
      </c>
      <c r="J54" s="72">
        <f ca="1">SUMIFS(OFFSET(Calculations!$I$10:$BP$10,MATCH(OFFSET(Summary!$D54,0,$A53),OFFSET(Calculations!$C$11:$C$230,0,$A53),0),0),Calculations!$I$8:$BP$8,J$6)</f>
        <v>-418510.71643253556</v>
      </c>
      <c r="K54" s="72">
        <f ca="1">SUMIFS(OFFSET(Calculations!$I$10:$BP$10,MATCH(OFFSET(Summary!$D54,0,$A53),OFFSET(Calculations!$C$11:$C$230,0,$A53),0),0),Calculations!$I$8:$BP$8,K$6)</f>
        <v>-3490652.0723916283</v>
      </c>
      <c r="L54" s="72">
        <f ca="1">SUMIFS(OFFSET(Calculations!$I$10:$BP$10,MATCH(OFFSET(Summary!$D54,0,$A53),OFFSET(Calculations!$C$11:$C$230,0,$A53),0),0),Calculations!$I$8:$BP$8,L$6)</f>
        <v>-18197697.879891127</v>
      </c>
      <c r="M54" s="72">
        <f ca="1">SUMIFS(OFFSET(Calculations!$I$10:$BP$10,MATCH(OFFSET(Summary!$D54,0,$A53),OFFSET(Calculations!$C$11:$C$230,0,$A53),0),0),Calculations!$I$8:$BP$8,M$6)</f>
        <v>-74605638.893195421</v>
      </c>
    </row>
    <row r="55" spans="1:14" ht="15.75" thickBot="1" x14ac:dyDescent="0.3">
      <c r="E55" s="43" t="s">
        <v>62</v>
      </c>
      <c r="F55" s="43"/>
      <c r="G55" s="43"/>
      <c r="H55" s="44">
        <f t="shared" ca="1" si="13"/>
        <v>248481278.86054543</v>
      </c>
      <c r="I55" s="44">
        <f ca="1">SUM(I52:I54)</f>
        <v>138214.84378945665</v>
      </c>
      <c r="J55" s="44">
        <f t="shared" ref="J55:M55" ca="1" si="14">SUM(J52:J54)</f>
        <v>-3263864.0990992021</v>
      </c>
      <c r="K55" s="44">
        <f t="shared" ca="1" si="14"/>
        <v>11757244.315608371</v>
      </c>
      <c r="L55" s="44">
        <f t="shared" ca="1" si="14"/>
        <v>46496028.933442205</v>
      </c>
      <c r="M55" s="44">
        <f t="shared" ca="1" si="14"/>
        <v>193353654.8668046</v>
      </c>
    </row>
    <row r="56" spans="1:14" ht="13.5" thickTop="1" x14ac:dyDescent="0.2"/>
    <row r="57" spans="1:14" ht="15" x14ac:dyDescent="0.25">
      <c r="E57" s="76" t="str">
        <f>Calculations!D229</f>
        <v>Opening Cash</v>
      </c>
      <c r="F57" s="76"/>
      <c r="G57" s="76"/>
      <c r="H57" s="76"/>
      <c r="I57" s="84">
        <f ca="1">INDEX(Calculations!$I$95:$BP$231,MATCH(Summary!$E57,Calculations!$D$95:$D$231,0),MATCH(Summary!I$7,Calculations!$I$6:$BP$6,0))</f>
        <v>408425.03375354927</v>
      </c>
      <c r="J57" s="84">
        <f ca="1">INDEX(Calculations!$I$95:$BP$231,MATCH(Summary!$E57,Calculations!$D$95:$D$231,0),MATCH(Summary!J$7,Calculations!$I$6:$BP$6,0))</f>
        <v>-3055093.8360637748</v>
      </c>
      <c r="K57" s="84">
        <f ca="1">INDEX(Calculations!$I$95:$BP$231,MATCH(Summary!$E57,Calculations!$D$95:$D$231,0),MATCH(Summary!K$7,Calculations!$I$6:$BP$6,0))</f>
        <v>6985588.2115151845</v>
      </c>
      <c r="L57" s="84">
        <f ca="1">INDEX(Calculations!$I$95:$BP$231,MATCH(Summary!$E57,Calculations!$D$95:$D$231,0),MATCH(Summary!L$7,Calculations!$I$6:$BP$6,0))</f>
        <v>48556341.261289097</v>
      </c>
      <c r="M57" s="84">
        <f ca="1">INDEX(Calculations!$I$95:$BP$231,MATCH(Summary!$E57,Calculations!$D$95:$D$231,0),MATCH(Summary!M$7,Calculations!$I$6:$BP$6,0))</f>
        <v>222253484.3672694</v>
      </c>
    </row>
    <row r="58" spans="1:14" ht="15" x14ac:dyDescent="0.25">
      <c r="E58" s="76" t="str">
        <f>Calculations!D230</f>
        <v>Closing Cash</v>
      </c>
      <c r="F58" s="76"/>
      <c r="G58" s="76"/>
      <c r="H58" s="76"/>
      <c r="I58" s="84">
        <f ca="1">INDEX(Calculations!$I$95:$BP$231,MATCH(Summary!$E58,Calculations!$D$95:$D$231,0),MATCH(Summary!I$7,Calculations!$I$6:$BP$6,0))</f>
        <v>138214.84378945606</v>
      </c>
      <c r="J58" s="84">
        <f ca="1">INDEX(Calculations!$I$95:$BP$231,MATCH(Summary!$E58,Calculations!$D$95:$D$231,0),MATCH(Summary!J$7,Calculations!$I$6:$BP$6,0))</f>
        <v>-3125649.2553097461</v>
      </c>
      <c r="K58" s="84">
        <f ca="1">INDEX(Calculations!$I$95:$BP$231,MATCH(Summary!$E58,Calculations!$D$95:$D$231,0),MATCH(Summary!K$7,Calculations!$I$6:$BP$6,0))</f>
        <v>8631595.0602986235</v>
      </c>
      <c r="L58" s="84">
        <f ca="1">INDEX(Calculations!$I$95:$BP$231,MATCH(Summary!$E58,Calculations!$D$95:$D$231,0),MATCH(Summary!L$7,Calculations!$I$6:$BP$6,0))</f>
        <v>55127623.993740827</v>
      </c>
      <c r="M58" s="84">
        <f ca="1">INDEX(Calculations!$I$95:$BP$231,MATCH(Summary!$E58,Calculations!$D$95:$D$231,0),MATCH(Summary!M$7,Calculations!$I$6:$BP$6,0))</f>
        <v>248481278.8605454</v>
      </c>
    </row>
    <row r="60" spans="1:14" x14ac:dyDescent="0.2">
      <c r="D60" s="79" t="s">
        <v>63</v>
      </c>
      <c r="N60" s="80" t="b">
        <f ca="1">ROUND(H55,0)=ROUND(M58,0)</f>
        <v>1</v>
      </c>
    </row>
  </sheetData>
  <conditionalFormatting sqref="B4">
    <cfRule type="cellIs" dxfId="22" priority="1" operator="equal">
      <formula>FALSE</formula>
    </cfRule>
    <cfRule type="cellIs" dxfId="21" priority="2" operator="equal">
      <formula>TRUE</formula>
    </cfRule>
  </conditionalFormatting>
  <conditionalFormatting sqref="H25:M25">
    <cfRule type="cellIs" dxfId="20" priority="9" operator="notEqual">
      <formula>0</formula>
    </cfRule>
    <cfRule type="cellIs" dxfId="19" priority="10" operator="equal">
      <formula>0</formula>
    </cfRule>
  </conditionalFormatting>
  <conditionalFormatting sqref="I48:M48">
    <cfRule type="cellIs" dxfId="18" priority="11" operator="notEqual">
      <formula>0</formula>
    </cfRule>
    <cfRule type="cellIs" dxfId="17" priority="12" operator="equal">
      <formula>0</formula>
    </cfRule>
  </conditionalFormatting>
  <conditionalFormatting sqref="N25">
    <cfRule type="cellIs" dxfId="16" priority="5" operator="equal">
      <formula>FALSE</formula>
    </cfRule>
    <cfRule type="cellIs" dxfId="15" priority="6" operator="equal">
      <formula>TRUE</formula>
    </cfRule>
  </conditionalFormatting>
  <conditionalFormatting sqref="N48">
    <cfRule type="cellIs" dxfId="14" priority="7" operator="equal">
      <formula>FALSE</formula>
    </cfRule>
    <cfRule type="cellIs" dxfId="13" priority="8" operator="equal">
      <formula>TRUE</formula>
    </cfRule>
  </conditionalFormatting>
  <conditionalFormatting sqref="N60">
    <cfRule type="cellIs" dxfId="12" priority="3" operator="equal">
      <formula>FALSE</formula>
    </cfRule>
    <cfRule type="cellIs" dxfId="11" priority="4" operator="equal">
      <formula>TRUE</formula>
    </cfRule>
  </conditionalFormatting>
  <hyperlinks>
    <hyperlink ref="B3" location="Start" display="ToC" xr:uid="{00000000-0004-0000-0400-000000000000}"/>
  </hyperlink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4">
    <tabColor rgb="FFFFC000"/>
  </sheetPr>
  <dimension ref="A1:BS280"/>
  <sheetViews>
    <sheetView showGridLines="0" zoomScaleNormal="100" workbookViewId="0">
      <pane xSplit="7" ySplit="6" topLeftCell="H7" activePane="bottomRight" state="frozen"/>
      <selection pane="topRight" activeCell="A3" sqref="A3"/>
      <selection pane="bottomLeft" activeCell="A3" sqref="A3"/>
      <selection pane="bottomRight" activeCell="G27" sqref="G27"/>
    </sheetView>
  </sheetViews>
  <sheetFormatPr defaultColWidth="0" defaultRowHeight="12.75" x14ac:dyDescent="0.2"/>
  <cols>
    <col min="1" max="1" width="4.28515625" style="1" customWidth="1"/>
    <col min="2" max="6" width="2.5703125" style="1" customWidth="1"/>
    <col min="7" max="7" width="31.28515625" style="1" customWidth="1"/>
    <col min="8" max="8" width="14.28515625" style="1" customWidth="1"/>
    <col min="9" max="68" width="12.5703125" style="1" customWidth="1"/>
    <col min="69" max="71" width="0" style="1" hidden="1" customWidth="1"/>
    <col min="72" max="16384" width="9.28515625" style="1" hidden="1"/>
  </cols>
  <sheetData>
    <row r="1" spans="1:71" ht="44.25" customHeight="1" thickBot="1" x14ac:dyDescent="0.35">
      <c r="A1" s="70"/>
      <c r="B1" s="70" t="str">
        <f ca="1">AssmModelHeader</f>
        <v>Growth Startup (High)</v>
      </c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  <c r="X1" s="70"/>
      <c r="Y1" s="70"/>
      <c r="Z1" s="70"/>
      <c r="AA1" s="70"/>
      <c r="AB1" s="70"/>
      <c r="AC1" s="70"/>
      <c r="AD1" s="70"/>
      <c r="AE1" s="70"/>
      <c r="AF1" s="70"/>
      <c r="AG1" s="70"/>
      <c r="AH1" s="70"/>
      <c r="AI1" s="70"/>
      <c r="AJ1" s="70"/>
      <c r="AK1" s="70"/>
      <c r="AL1" s="70"/>
      <c r="AM1" s="70"/>
      <c r="AN1" s="70"/>
      <c r="AO1" s="70"/>
      <c r="AP1" s="70"/>
      <c r="AQ1" s="70"/>
      <c r="AR1" s="70"/>
      <c r="AS1" s="70"/>
      <c r="AT1" s="70"/>
      <c r="AU1" s="70"/>
      <c r="AV1" s="70"/>
      <c r="AW1" s="70"/>
      <c r="AX1" s="70"/>
      <c r="AY1" s="70"/>
      <c r="AZ1" s="70"/>
      <c r="BA1" s="70"/>
      <c r="BB1" s="70"/>
      <c r="BC1" s="70"/>
      <c r="BD1" s="70"/>
      <c r="BE1" s="70"/>
      <c r="BF1" s="70"/>
      <c r="BG1" s="70"/>
      <c r="BH1" s="70"/>
      <c r="BI1" s="70"/>
      <c r="BJ1" s="70"/>
      <c r="BK1" s="70"/>
      <c r="BL1" s="70"/>
      <c r="BM1" s="70"/>
      <c r="BN1" s="70"/>
      <c r="BO1" s="70"/>
      <c r="BP1" s="70"/>
    </row>
    <row r="2" spans="1:71" ht="18.75" thickTop="1" thickBot="1" x14ac:dyDescent="0.35">
      <c r="A2" s="69"/>
      <c r="B2" s="69" t="s">
        <v>35</v>
      </c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69"/>
      <c r="W2" s="69"/>
      <c r="X2" s="69"/>
      <c r="Y2" s="69"/>
      <c r="Z2" s="69"/>
      <c r="AA2" s="69"/>
      <c r="AB2" s="69"/>
      <c r="AC2" s="69"/>
      <c r="AD2" s="69"/>
      <c r="AE2" s="69"/>
      <c r="AF2" s="69"/>
      <c r="AG2" s="69"/>
      <c r="AH2" s="69"/>
      <c r="AI2" s="69"/>
      <c r="AJ2" s="69"/>
      <c r="AK2" s="69"/>
      <c r="AL2" s="69"/>
      <c r="AM2" s="69"/>
      <c r="AN2" s="69"/>
      <c r="AO2" s="69"/>
      <c r="AP2" s="69"/>
      <c r="AQ2" s="69"/>
      <c r="AR2" s="69"/>
      <c r="AS2" s="69"/>
      <c r="AT2" s="69"/>
      <c r="AU2" s="69"/>
      <c r="AV2" s="69"/>
      <c r="AW2" s="69"/>
      <c r="AX2" s="69"/>
      <c r="AY2" s="69"/>
      <c r="AZ2" s="69"/>
      <c r="BA2" s="69"/>
      <c r="BB2" s="69"/>
      <c r="BC2" s="69"/>
      <c r="BD2" s="69"/>
      <c r="BE2" s="69"/>
      <c r="BF2" s="69"/>
      <c r="BG2" s="69"/>
      <c r="BH2" s="69"/>
      <c r="BI2" s="69"/>
      <c r="BJ2" s="69"/>
      <c r="BK2" s="69"/>
      <c r="BL2" s="69"/>
      <c r="BM2" s="69"/>
      <c r="BN2" s="69"/>
      <c r="BO2" s="69"/>
      <c r="BP2" s="69"/>
    </row>
    <row r="3" spans="1:71" ht="13.5" thickTop="1" x14ac:dyDescent="0.2">
      <c r="A3" s="93" t="s">
        <v>12</v>
      </c>
    </row>
    <row r="4" spans="1:71" s="30" customFormat="1" ht="15" x14ac:dyDescent="0.25">
      <c r="A4" s="80" t="b">
        <f ca="1">ErrChkOverall</f>
        <v>1</v>
      </c>
    </row>
    <row r="5" spans="1:71" s="30" customFormat="1" ht="15" x14ac:dyDescent="0.25"/>
    <row r="6" spans="1:71" s="41" customFormat="1" ht="20.25" thickBot="1" x14ac:dyDescent="0.35">
      <c r="A6" s="70"/>
      <c r="B6" s="70" t="s">
        <v>64</v>
      </c>
      <c r="C6" s="70"/>
      <c r="D6" s="70"/>
      <c r="E6" s="70"/>
      <c r="F6" s="70"/>
      <c r="G6" s="101"/>
      <c r="H6" s="101" t="s">
        <v>65</v>
      </c>
      <c r="I6" s="102">
        <f ca="1">Assumptions!I59</f>
        <v>46418</v>
      </c>
      <c r="J6" s="102">
        <f ca="1">Assumptions!J59</f>
        <v>46446</v>
      </c>
      <c r="K6" s="102">
        <f ca="1">Assumptions!K59</f>
        <v>46477</v>
      </c>
      <c r="L6" s="102">
        <f ca="1">Assumptions!L59</f>
        <v>46507</v>
      </c>
      <c r="M6" s="102">
        <f ca="1">Assumptions!M59</f>
        <v>46538</v>
      </c>
      <c r="N6" s="102">
        <f ca="1">Assumptions!N59</f>
        <v>46568</v>
      </c>
      <c r="O6" s="102">
        <f ca="1">Assumptions!O59</f>
        <v>46599</v>
      </c>
      <c r="P6" s="102">
        <f ca="1">Assumptions!P59</f>
        <v>46630</v>
      </c>
      <c r="Q6" s="102">
        <f ca="1">Assumptions!Q59</f>
        <v>46660</v>
      </c>
      <c r="R6" s="102">
        <f ca="1">Assumptions!R59</f>
        <v>46691</v>
      </c>
      <c r="S6" s="102">
        <f ca="1">Assumptions!S59</f>
        <v>46721</v>
      </c>
      <c r="T6" s="102">
        <f ca="1">Assumptions!T59</f>
        <v>46752</v>
      </c>
      <c r="U6" s="102">
        <f ca="1">Assumptions!U59</f>
        <v>46783</v>
      </c>
      <c r="V6" s="102">
        <f ca="1">Assumptions!V59</f>
        <v>46812</v>
      </c>
      <c r="W6" s="102">
        <f ca="1">Assumptions!W59</f>
        <v>46843</v>
      </c>
      <c r="X6" s="102">
        <f ca="1">Assumptions!X59</f>
        <v>46873</v>
      </c>
      <c r="Y6" s="102">
        <f ca="1">Assumptions!Y59</f>
        <v>46904</v>
      </c>
      <c r="Z6" s="102">
        <f ca="1">Assumptions!Z59</f>
        <v>46934</v>
      </c>
      <c r="AA6" s="102">
        <f ca="1">Assumptions!AA59</f>
        <v>46965</v>
      </c>
      <c r="AB6" s="102">
        <f ca="1">Assumptions!AB59</f>
        <v>46996</v>
      </c>
      <c r="AC6" s="102">
        <f ca="1">Assumptions!AC59</f>
        <v>47026</v>
      </c>
      <c r="AD6" s="102">
        <f ca="1">Assumptions!AD59</f>
        <v>47057</v>
      </c>
      <c r="AE6" s="102">
        <f ca="1">Assumptions!AE59</f>
        <v>47087</v>
      </c>
      <c r="AF6" s="102">
        <f ca="1">Assumptions!AF59</f>
        <v>47118</v>
      </c>
      <c r="AG6" s="102">
        <f ca="1">Assumptions!AG59</f>
        <v>47149</v>
      </c>
      <c r="AH6" s="102">
        <f ca="1">Assumptions!AH59</f>
        <v>47177</v>
      </c>
      <c r="AI6" s="102">
        <f ca="1">Assumptions!AI59</f>
        <v>47208</v>
      </c>
      <c r="AJ6" s="102">
        <f ca="1">Assumptions!AJ59</f>
        <v>47238</v>
      </c>
      <c r="AK6" s="102">
        <f ca="1">Assumptions!AK59</f>
        <v>47269</v>
      </c>
      <c r="AL6" s="102">
        <f ca="1">Assumptions!AL59</f>
        <v>47299</v>
      </c>
      <c r="AM6" s="102">
        <f ca="1">Assumptions!AM59</f>
        <v>47330</v>
      </c>
      <c r="AN6" s="102">
        <f ca="1">Assumptions!AN59</f>
        <v>47361</v>
      </c>
      <c r="AO6" s="102">
        <f ca="1">Assumptions!AO59</f>
        <v>47391</v>
      </c>
      <c r="AP6" s="102">
        <f ca="1">Assumptions!AP59</f>
        <v>47422</v>
      </c>
      <c r="AQ6" s="102">
        <f ca="1">Assumptions!AQ59</f>
        <v>47452</v>
      </c>
      <c r="AR6" s="102">
        <f ca="1">Assumptions!AR59</f>
        <v>47483</v>
      </c>
      <c r="AS6" s="102">
        <f ca="1">Assumptions!AS59</f>
        <v>47514</v>
      </c>
      <c r="AT6" s="102">
        <f ca="1">Assumptions!AT59</f>
        <v>47542</v>
      </c>
      <c r="AU6" s="102">
        <f ca="1">Assumptions!AU59</f>
        <v>47573</v>
      </c>
      <c r="AV6" s="102">
        <f ca="1">Assumptions!AV59</f>
        <v>47603</v>
      </c>
      <c r="AW6" s="102">
        <f ca="1">Assumptions!AW59</f>
        <v>47634</v>
      </c>
      <c r="AX6" s="102">
        <f ca="1">Assumptions!AX59</f>
        <v>47664</v>
      </c>
      <c r="AY6" s="102">
        <f ca="1">Assumptions!AY59</f>
        <v>47695</v>
      </c>
      <c r="AZ6" s="102">
        <f ca="1">Assumptions!AZ59</f>
        <v>47726</v>
      </c>
      <c r="BA6" s="102">
        <f ca="1">Assumptions!BA59</f>
        <v>47756</v>
      </c>
      <c r="BB6" s="102">
        <f ca="1">Assumptions!BB59</f>
        <v>47787</v>
      </c>
      <c r="BC6" s="102">
        <f ca="1">Assumptions!BC59</f>
        <v>47817</v>
      </c>
      <c r="BD6" s="102">
        <f ca="1">Assumptions!BD59</f>
        <v>47848</v>
      </c>
      <c r="BE6" s="102">
        <f ca="1">Assumptions!BE59</f>
        <v>47879</v>
      </c>
      <c r="BF6" s="102">
        <f ca="1">Assumptions!BF59</f>
        <v>47907</v>
      </c>
      <c r="BG6" s="102">
        <f ca="1">Assumptions!BG59</f>
        <v>47938</v>
      </c>
      <c r="BH6" s="102">
        <f ca="1">Assumptions!BH59</f>
        <v>47968</v>
      </c>
      <c r="BI6" s="102">
        <f ca="1">Assumptions!BI59</f>
        <v>47999</v>
      </c>
      <c r="BJ6" s="102">
        <f ca="1">Assumptions!BJ59</f>
        <v>48029</v>
      </c>
      <c r="BK6" s="102">
        <f ca="1">Assumptions!BK59</f>
        <v>48060</v>
      </c>
      <c r="BL6" s="102">
        <f ca="1">Assumptions!BL59</f>
        <v>48091</v>
      </c>
      <c r="BM6" s="102">
        <f ca="1">Assumptions!BM59</f>
        <v>48121</v>
      </c>
      <c r="BN6" s="102">
        <f ca="1">Assumptions!BN59</f>
        <v>48152</v>
      </c>
      <c r="BO6" s="102">
        <f ca="1">Assumptions!BO59</f>
        <v>48182</v>
      </c>
      <c r="BP6" s="102">
        <f ca="1">Assumptions!BP59</f>
        <v>48213</v>
      </c>
      <c r="BQ6" s="42"/>
      <c r="BR6" s="42"/>
      <c r="BS6" s="42"/>
    </row>
    <row r="7" spans="1:71" s="30" customFormat="1" ht="15.75" thickTop="1" x14ac:dyDescent="0.25">
      <c r="C7" s="30" t="s">
        <v>66</v>
      </c>
      <c r="I7" s="32">
        <f>Assumptions!I60</f>
        <v>1</v>
      </c>
      <c r="J7" s="32">
        <f>Assumptions!J60</f>
        <v>2</v>
      </c>
      <c r="K7" s="32">
        <f>Assumptions!K60</f>
        <v>3</v>
      </c>
      <c r="L7" s="32">
        <f>Assumptions!L60</f>
        <v>4</v>
      </c>
      <c r="M7" s="32">
        <f>Assumptions!M60</f>
        <v>5</v>
      </c>
      <c r="N7" s="32">
        <f>Assumptions!N60</f>
        <v>6</v>
      </c>
      <c r="O7" s="32">
        <f>Assumptions!O60</f>
        <v>7</v>
      </c>
      <c r="P7" s="32">
        <f>Assumptions!P60</f>
        <v>8</v>
      </c>
      <c r="Q7" s="32">
        <f>Assumptions!Q60</f>
        <v>9</v>
      </c>
      <c r="R7" s="32">
        <f>Assumptions!R60</f>
        <v>10</v>
      </c>
      <c r="S7" s="32">
        <f>Assumptions!S60</f>
        <v>11</v>
      </c>
      <c r="T7" s="32">
        <f>Assumptions!T60</f>
        <v>12</v>
      </c>
      <c r="U7" s="32">
        <f>Assumptions!U60</f>
        <v>13</v>
      </c>
      <c r="V7" s="32">
        <f>Assumptions!V60</f>
        <v>14</v>
      </c>
      <c r="W7" s="32">
        <f>Assumptions!W60</f>
        <v>15</v>
      </c>
      <c r="X7" s="32">
        <f>Assumptions!X60</f>
        <v>16</v>
      </c>
      <c r="Y7" s="32">
        <f>Assumptions!Y60</f>
        <v>17</v>
      </c>
      <c r="Z7" s="32">
        <f>Assumptions!Z60</f>
        <v>18</v>
      </c>
      <c r="AA7" s="32">
        <f>Assumptions!AA60</f>
        <v>19</v>
      </c>
      <c r="AB7" s="32">
        <f>Assumptions!AB60</f>
        <v>20</v>
      </c>
      <c r="AC7" s="32">
        <f>Assumptions!AC60</f>
        <v>21</v>
      </c>
      <c r="AD7" s="32">
        <f>Assumptions!AD60</f>
        <v>22</v>
      </c>
      <c r="AE7" s="32">
        <f>Assumptions!AE60</f>
        <v>23</v>
      </c>
      <c r="AF7" s="32">
        <f>Assumptions!AF60</f>
        <v>24</v>
      </c>
      <c r="AG7" s="32">
        <f>Assumptions!AG60</f>
        <v>25</v>
      </c>
      <c r="AH7" s="32">
        <f>Assumptions!AH60</f>
        <v>26</v>
      </c>
      <c r="AI7" s="32">
        <f>Assumptions!AI60</f>
        <v>27</v>
      </c>
      <c r="AJ7" s="32">
        <f>Assumptions!AJ60</f>
        <v>28</v>
      </c>
      <c r="AK7" s="32">
        <f>Assumptions!AK60</f>
        <v>29</v>
      </c>
      <c r="AL7" s="32">
        <f>Assumptions!AL60</f>
        <v>30</v>
      </c>
      <c r="AM7" s="32">
        <f>Assumptions!AM60</f>
        <v>31</v>
      </c>
      <c r="AN7" s="32">
        <f>Assumptions!AN60</f>
        <v>32</v>
      </c>
      <c r="AO7" s="32">
        <f>Assumptions!AO60</f>
        <v>33</v>
      </c>
      <c r="AP7" s="32">
        <f>Assumptions!AP60</f>
        <v>34</v>
      </c>
      <c r="AQ7" s="32">
        <f>Assumptions!AQ60</f>
        <v>35</v>
      </c>
      <c r="AR7" s="32">
        <f>Assumptions!AR60</f>
        <v>36</v>
      </c>
      <c r="AS7" s="32">
        <f>Assumptions!AS60</f>
        <v>37</v>
      </c>
      <c r="AT7" s="32">
        <f>Assumptions!AT60</f>
        <v>38</v>
      </c>
      <c r="AU7" s="32">
        <f>Assumptions!AU60</f>
        <v>39</v>
      </c>
      <c r="AV7" s="32">
        <f>Assumptions!AV60</f>
        <v>40</v>
      </c>
      <c r="AW7" s="32">
        <f>Assumptions!AW60</f>
        <v>41</v>
      </c>
      <c r="AX7" s="32">
        <f>Assumptions!AX60</f>
        <v>42</v>
      </c>
      <c r="AY7" s="32">
        <f>Assumptions!AY60</f>
        <v>43</v>
      </c>
      <c r="AZ7" s="32">
        <f>Assumptions!AZ60</f>
        <v>44</v>
      </c>
      <c r="BA7" s="32">
        <f>Assumptions!BA60</f>
        <v>45</v>
      </c>
      <c r="BB7" s="32">
        <f>Assumptions!BB60</f>
        <v>46</v>
      </c>
      <c r="BC7" s="32">
        <f>Assumptions!BC60</f>
        <v>47</v>
      </c>
      <c r="BD7" s="32">
        <f>Assumptions!BD60</f>
        <v>48</v>
      </c>
      <c r="BE7" s="32">
        <f>Assumptions!BE60</f>
        <v>49</v>
      </c>
      <c r="BF7" s="32">
        <f>Assumptions!BF60</f>
        <v>50</v>
      </c>
      <c r="BG7" s="32">
        <f>Assumptions!BG60</f>
        <v>51</v>
      </c>
      <c r="BH7" s="32">
        <f>Assumptions!BH60</f>
        <v>52</v>
      </c>
      <c r="BI7" s="32">
        <f>Assumptions!BI60</f>
        <v>53</v>
      </c>
      <c r="BJ7" s="32">
        <f>Assumptions!BJ60</f>
        <v>54</v>
      </c>
      <c r="BK7" s="32">
        <f>Assumptions!BK60</f>
        <v>55</v>
      </c>
      <c r="BL7" s="32">
        <f>Assumptions!BL60</f>
        <v>56</v>
      </c>
      <c r="BM7" s="32">
        <f>Assumptions!BM60</f>
        <v>57</v>
      </c>
      <c r="BN7" s="32">
        <f>Assumptions!BN60</f>
        <v>58</v>
      </c>
      <c r="BO7" s="32">
        <f>Assumptions!BO60</f>
        <v>59</v>
      </c>
      <c r="BP7" s="32">
        <f>Assumptions!BP60</f>
        <v>60</v>
      </c>
    </row>
    <row r="8" spans="1:71" s="30" customFormat="1" ht="15" x14ac:dyDescent="0.25">
      <c r="C8" s="30" t="s">
        <v>30</v>
      </c>
      <c r="I8" s="32">
        <f>Assumptions!I62</f>
        <v>1</v>
      </c>
      <c r="J8" s="32">
        <f>Assumptions!J62</f>
        <v>1</v>
      </c>
      <c r="K8" s="32">
        <f>Assumptions!K62</f>
        <v>1</v>
      </c>
      <c r="L8" s="32">
        <f>Assumptions!L62</f>
        <v>1</v>
      </c>
      <c r="M8" s="32">
        <f>Assumptions!M62</f>
        <v>1</v>
      </c>
      <c r="N8" s="32">
        <f>Assumptions!N62</f>
        <v>1</v>
      </c>
      <c r="O8" s="32">
        <f>Assumptions!O62</f>
        <v>1</v>
      </c>
      <c r="P8" s="32">
        <f>Assumptions!P62</f>
        <v>1</v>
      </c>
      <c r="Q8" s="32">
        <f>Assumptions!Q62</f>
        <v>1</v>
      </c>
      <c r="R8" s="32">
        <f>Assumptions!R62</f>
        <v>1</v>
      </c>
      <c r="S8" s="32">
        <f>Assumptions!S62</f>
        <v>1</v>
      </c>
      <c r="T8" s="32">
        <f>Assumptions!T62</f>
        <v>1</v>
      </c>
      <c r="U8" s="32">
        <f>Assumptions!U62</f>
        <v>2</v>
      </c>
      <c r="V8" s="32">
        <f>Assumptions!V62</f>
        <v>2</v>
      </c>
      <c r="W8" s="32">
        <f>Assumptions!W62</f>
        <v>2</v>
      </c>
      <c r="X8" s="32">
        <f>Assumptions!X62</f>
        <v>2</v>
      </c>
      <c r="Y8" s="32">
        <f>Assumptions!Y62</f>
        <v>2</v>
      </c>
      <c r="Z8" s="32">
        <f>Assumptions!Z62</f>
        <v>2</v>
      </c>
      <c r="AA8" s="32">
        <f>Assumptions!AA62</f>
        <v>2</v>
      </c>
      <c r="AB8" s="32">
        <f>Assumptions!AB62</f>
        <v>2</v>
      </c>
      <c r="AC8" s="32">
        <f>Assumptions!AC62</f>
        <v>2</v>
      </c>
      <c r="AD8" s="32">
        <f>Assumptions!AD62</f>
        <v>2</v>
      </c>
      <c r="AE8" s="32">
        <f>Assumptions!AE62</f>
        <v>2</v>
      </c>
      <c r="AF8" s="32">
        <f>Assumptions!AF62</f>
        <v>2</v>
      </c>
      <c r="AG8" s="32">
        <f>Assumptions!AG62</f>
        <v>3</v>
      </c>
      <c r="AH8" s="32">
        <f>Assumptions!AH62</f>
        <v>3</v>
      </c>
      <c r="AI8" s="32">
        <f>Assumptions!AI62</f>
        <v>3</v>
      </c>
      <c r="AJ8" s="32">
        <f>Assumptions!AJ62</f>
        <v>3</v>
      </c>
      <c r="AK8" s="32">
        <f>Assumptions!AK62</f>
        <v>3</v>
      </c>
      <c r="AL8" s="32">
        <f>Assumptions!AL62</f>
        <v>3</v>
      </c>
      <c r="AM8" s="32">
        <f>Assumptions!AM62</f>
        <v>3</v>
      </c>
      <c r="AN8" s="32">
        <f>Assumptions!AN62</f>
        <v>3</v>
      </c>
      <c r="AO8" s="32">
        <f>Assumptions!AO62</f>
        <v>3</v>
      </c>
      <c r="AP8" s="32">
        <f>Assumptions!AP62</f>
        <v>3</v>
      </c>
      <c r="AQ8" s="32">
        <f>Assumptions!AQ62</f>
        <v>3</v>
      </c>
      <c r="AR8" s="32">
        <f>Assumptions!AR62</f>
        <v>3</v>
      </c>
      <c r="AS8" s="32">
        <f>Assumptions!AS62</f>
        <v>4</v>
      </c>
      <c r="AT8" s="32">
        <f>Assumptions!AT62</f>
        <v>4</v>
      </c>
      <c r="AU8" s="32">
        <f>Assumptions!AU62</f>
        <v>4</v>
      </c>
      <c r="AV8" s="32">
        <f>Assumptions!AV62</f>
        <v>4</v>
      </c>
      <c r="AW8" s="32">
        <f>Assumptions!AW62</f>
        <v>4</v>
      </c>
      <c r="AX8" s="32">
        <f>Assumptions!AX62</f>
        <v>4</v>
      </c>
      <c r="AY8" s="32">
        <f>Assumptions!AY62</f>
        <v>4</v>
      </c>
      <c r="AZ8" s="32">
        <f>Assumptions!AZ62</f>
        <v>4</v>
      </c>
      <c r="BA8" s="32">
        <f>Assumptions!BA62</f>
        <v>4</v>
      </c>
      <c r="BB8" s="32">
        <f>Assumptions!BB62</f>
        <v>4</v>
      </c>
      <c r="BC8" s="32">
        <f>Assumptions!BC62</f>
        <v>4</v>
      </c>
      <c r="BD8" s="32">
        <f>Assumptions!BD62</f>
        <v>4</v>
      </c>
      <c r="BE8" s="32">
        <f>Assumptions!BE62</f>
        <v>5</v>
      </c>
      <c r="BF8" s="32">
        <f>Assumptions!BF62</f>
        <v>5</v>
      </c>
      <c r="BG8" s="32">
        <f>Assumptions!BG62</f>
        <v>5</v>
      </c>
      <c r="BH8" s="32">
        <f>Assumptions!BH62</f>
        <v>5</v>
      </c>
      <c r="BI8" s="32">
        <f>Assumptions!BI62</f>
        <v>5</v>
      </c>
      <c r="BJ8" s="32">
        <f>Assumptions!BJ62</f>
        <v>5</v>
      </c>
      <c r="BK8" s="32">
        <f>Assumptions!BK62</f>
        <v>5</v>
      </c>
      <c r="BL8" s="32">
        <f>Assumptions!BL62</f>
        <v>5</v>
      </c>
      <c r="BM8" s="32">
        <f>Assumptions!BM62</f>
        <v>5</v>
      </c>
      <c r="BN8" s="32">
        <f>Assumptions!BN62</f>
        <v>5</v>
      </c>
      <c r="BO8" s="32">
        <f>Assumptions!BO62</f>
        <v>5</v>
      </c>
      <c r="BP8" s="32">
        <f>Assumptions!BP62</f>
        <v>5</v>
      </c>
    </row>
    <row r="9" spans="1:71" s="30" customFormat="1" ht="15" x14ac:dyDescent="0.25"/>
    <row r="10" spans="1:71" s="41" customFormat="1" ht="20.25" thickBot="1" x14ac:dyDescent="0.35">
      <c r="A10" s="70"/>
      <c r="B10" s="70" t="s">
        <v>35</v>
      </c>
      <c r="C10" s="70"/>
      <c r="D10" s="70"/>
      <c r="E10" s="70"/>
      <c r="F10" s="70"/>
      <c r="G10" s="70"/>
      <c r="H10" s="70"/>
      <c r="I10" s="103"/>
      <c r="J10" s="103"/>
      <c r="K10" s="103"/>
      <c r="L10" s="103"/>
      <c r="M10" s="103"/>
      <c r="N10" s="103"/>
      <c r="O10" s="103"/>
      <c r="P10" s="103"/>
      <c r="Q10" s="103"/>
      <c r="R10" s="103"/>
      <c r="S10" s="103"/>
      <c r="T10" s="103"/>
      <c r="U10" s="103"/>
      <c r="V10" s="103"/>
      <c r="W10" s="103"/>
      <c r="X10" s="103"/>
      <c r="Y10" s="103"/>
      <c r="Z10" s="103"/>
      <c r="AA10" s="103"/>
      <c r="AB10" s="103"/>
      <c r="AC10" s="103"/>
      <c r="AD10" s="103"/>
      <c r="AE10" s="103"/>
      <c r="AF10" s="103"/>
      <c r="AG10" s="103"/>
      <c r="AH10" s="103"/>
      <c r="AI10" s="103"/>
      <c r="AJ10" s="103"/>
      <c r="AK10" s="103"/>
      <c r="AL10" s="103"/>
      <c r="AM10" s="103"/>
      <c r="AN10" s="103"/>
      <c r="AO10" s="103"/>
      <c r="AP10" s="103"/>
      <c r="AQ10" s="103"/>
      <c r="AR10" s="103"/>
      <c r="AS10" s="103"/>
      <c r="AT10" s="103"/>
      <c r="AU10" s="103"/>
      <c r="AV10" s="103"/>
      <c r="AW10" s="103"/>
      <c r="AX10" s="103"/>
      <c r="AY10" s="103"/>
      <c r="AZ10" s="103"/>
      <c r="BA10" s="103"/>
      <c r="BB10" s="103"/>
      <c r="BC10" s="103"/>
      <c r="BD10" s="103"/>
      <c r="BE10" s="103"/>
      <c r="BF10" s="103"/>
      <c r="BG10" s="103"/>
      <c r="BH10" s="103"/>
      <c r="BI10" s="103"/>
      <c r="BJ10" s="103"/>
      <c r="BK10" s="103"/>
      <c r="BL10" s="103"/>
      <c r="BM10" s="103"/>
      <c r="BN10" s="103"/>
      <c r="BO10" s="103"/>
      <c r="BP10" s="103"/>
    </row>
    <row r="11" spans="1:71" s="30" customFormat="1" ht="15.75" thickTop="1" x14ac:dyDescent="0.25">
      <c r="C11" s="30" t="s">
        <v>67</v>
      </c>
      <c r="H11" s="33" t="s">
        <v>68</v>
      </c>
      <c r="I11" s="34">
        <f>SUMIFS(INDEX(tblAnnualAssm[],,MATCH(TEXT(Calculations!I$8,"0"),tblAnnualAssm[#Headers],0)),tblAnnualAssm[Case],AssmBusinessCase,tblAnnualAssm[Input Type],$H11)</f>
        <v>0.3</v>
      </c>
      <c r="J11" s="34">
        <f>SUMIFS(INDEX(tblAnnualAssm[],,MATCH(TEXT(Calculations!J$8,"0"),tblAnnualAssm[#Headers],0)),tblAnnualAssm[Case],AssmBusinessCase,tblAnnualAssm[Input Type],$H11)</f>
        <v>0.3</v>
      </c>
      <c r="K11" s="34">
        <f>SUMIFS(INDEX(tblAnnualAssm[],,MATCH(TEXT(Calculations!K$8,"0"),tblAnnualAssm[#Headers],0)),tblAnnualAssm[Case],AssmBusinessCase,tblAnnualAssm[Input Type],$H11)</f>
        <v>0.3</v>
      </c>
      <c r="L11" s="34">
        <f>SUMIFS(INDEX(tblAnnualAssm[],,MATCH(TEXT(Calculations!L$8,"0"),tblAnnualAssm[#Headers],0)),tblAnnualAssm[Case],AssmBusinessCase,tblAnnualAssm[Input Type],$H11)</f>
        <v>0.3</v>
      </c>
      <c r="M11" s="34">
        <f>SUMIFS(INDEX(tblAnnualAssm[],,MATCH(TEXT(Calculations!M$8,"0"),tblAnnualAssm[#Headers],0)),tblAnnualAssm[Case],AssmBusinessCase,tblAnnualAssm[Input Type],$H11)</f>
        <v>0.3</v>
      </c>
      <c r="N11" s="34">
        <f>SUMIFS(INDEX(tblAnnualAssm[],,MATCH(TEXT(Calculations!N$8,"0"),tblAnnualAssm[#Headers],0)),tblAnnualAssm[Case],AssmBusinessCase,tblAnnualAssm[Input Type],$H11)</f>
        <v>0.3</v>
      </c>
      <c r="O11" s="34">
        <f>SUMIFS(INDEX(tblAnnualAssm[],,MATCH(TEXT(Calculations!O$8,"0"),tblAnnualAssm[#Headers],0)),tblAnnualAssm[Case],AssmBusinessCase,tblAnnualAssm[Input Type],$H11)</f>
        <v>0.3</v>
      </c>
      <c r="P11" s="34">
        <f>SUMIFS(INDEX(tblAnnualAssm[],,MATCH(TEXT(Calculations!P$8,"0"),tblAnnualAssm[#Headers],0)),tblAnnualAssm[Case],AssmBusinessCase,tblAnnualAssm[Input Type],$H11)</f>
        <v>0.3</v>
      </c>
      <c r="Q11" s="34">
        <f>SUMIFS(INDEX(tblAnnualAssm[],,MATCH(TEXT(Calculations!Q$8,"0"),tblAnnualAssm[#Headers],0)),tblAnnualAssm[Case],AssmBusinessCase,tblAnnualAssm[Input Type],$H11)</f>
        <v>0.3</v>
      </c>
      <c r="R11" s="34">
        <f>SUMIFS(INDEX(tblAnnualAssm[],,MATCH(TEXT(Calculations!R$8,"0"),tblAnnualAssm[#Headers],0)),tblAnnualAssm[Case],AssmBusinessCase,tblAnnualAssm[Input Type],$H11)</f>
        <v>0.3</v>
      </c>
      <c r="S11" s="34">
        <f>SUMIFS(INDEX(tblAnnualAssm[],,MATCH(TEXT(Calculations!S$8,"0"),tblAnnualAssm[#Headers],0)),tblAnnualAssm[Case],AssmBusinessCase,tblAnnualAssm[Input Type],$H11)</f>
        <v>0.3</v>
      </c>
      <c r="T11" s="34">
        <f>SUMIFS(INDEX(tblAnnualAssm[],,MATCH(TEXT(Calculations!T$8,"0"),tblAnnualAssm[#Headers],0)),tblAnnualAssm[Case],AssmBusinessCase,tblAnnualAssm[Input Type],$H11)</f>
        <v>0.3</v>
      </c>
      <c r="U11" s="34">
        <f>SUMIFS(INDEX(tblAnnualAssm[],,MATCH(TEXT(Calculations!U$8,"0"),tblAnnualAssm[#Headers],0)),tblAnnualAssm[Case],AssmBusinessCase,tblAnnualAssm[Input Type],$H11)</f>
        <v>0.3</v>
      </c>
      <c r="V11" s="34">
        <f>SUMIFS(INDEX(tblAnnualAssm[],,MATCH(TEXT(Calculations!V$8,"0"),tblAnnualAssm[#Headers],0)),tblAnnualAssm[Case],AssmBusinessCase,tblAnnualAssm[Input Type],$H11)</f>
        <v>0.3</v>
      </c>
      <c r="W11" s="34">
        <f>SUMIFS(INDEX(tblAnnualAssm[],,MATCH(TEXT(Calculations!W$8,"0"),tblAnnualAssm[#Headers],0)),tblAnnualAssm[Case],AssmBusinessCase,tblAnnualAssm[Input Type],$H11)</f>
        <v>0.3</v>
      </c>
      <c r="X11" s="34">
        <f>SUMIFS(INDEX(tblAnnualAssm[],,MATCH(TEXT(Calculations!X$8,"0"),tblAnnualAssm[#Headers],0)),tblAnnualAssm[Case],AssmBusinessCase,tblAnnualAssm[Input Type],$H11)</f>
        <v>0.3</v>
      </c>
      <c r="Y11" s="34">
        <f>SUMIFS(INDEX(tblAnnualAssm[],,MATCH(TEXT(Calculations!Y$8,"0"),tblAnnualAssm[#Headers],0)),tblAnnualAssm[Case],AssmBusinessCase,tblAnnualAssm[Input Type],$H11)</f>
        <v>0.3</v>
      </c>
      <c r="Z11" s="34">
        <f>SUMIFS(INDEX(tblAnnualAssm[],,MATCH(TEXT(Calculations!Z$8,"0"),tblAnnualAssm[#Headers],0)),tblAnnualAssm[Case],AssmBusinessCase,tblAnnualAssm[Input Type],$H11)</f>
        <v>0.3</v>
      </c>
      <c r="AA11" s="34">
        <f>SUMIFS(INDEX(tblAnnualAssm[],,MATCH(TEXT(Calculations!AA$8,"0"),tblAnnualAssm[#Headers],0)),tblAnnualAssm[Case],AssmBusinessCase,tblAnnualAssm[Input Type],$H11)</f>
        <v>0.3</v>
      </c>
      <c r="AB11" s="34">
        <f>SUMIFS(INDEX(tblAnnualAssm[],,MATCH(TEXT(Calculations!AB$8,"0"),tblAnnualAssm[#Headers],0)),tblAnnualAssm[Case],AssmBusinessCase,tblAnnualAssm[Input Type],$H11)</f>
        <v>0.3</v>
      </c>
      <c r="AC11" s="34">
        <f>SUMIFS(INDEX(tblAnnualAssm[],,MATCH(TEXT(Calculations!AC$8,"0"),tblAnnualAssm[#Headers],0)),tblAnnualAssm[Case],AssmBusinessCase,tblAnnualAssm[Input Type],$H11)</f>
        <v>0.3</v>
      </c>
      <c r="AD11" s="34">
        <f>SUMIFS(INDEX(tblAnnualAssm[],,MATCH(TEXT(Calculations!AD$8,"0"),tblAnnualAssm[#Headers],0)),tblAnnualAssm[Case],AssmBusinessCase,tblAnnualAssm[Input Type],$H11)</f>
        <v>0.3</v>
      </c>
      <c r="AE11" s="34">
        <f>SUMIFS(INDEX(tblAnnualAssm[],,MATCH(TEXT(Calculations!AE$8,"0"),tblAnnualAssm[#Headers],0)),tblAnnualAssm[Case],AssmBusinessCase,tblAnnualAssm[Input Type],$H11)</f>
        <v>0.3</v>
      </c>
      <c r="AF11" s="34">
        <f>SUMIFS(INDEX(tblAnnualAssm[],,MATCH(TEXT(Calculations!AF$8,"0"),tblAnnualAssm[#Headers],0)),tblAnnualAssm[Case],AssmBusinessCase,tblAnnualAssm[Input Type],$H11)</f>
        <v>0.3</v>
      </c>
      <c r="AG11" s="34">
        <f>SUMIFS(INDEX(tblAnnualAssm[],,MATCH(TEXT(Calculations!AG$8,"0"),tblAnnualAssm[#Headers],0)),tblAnnualAssm[Case],AssmBusinessCase,tblAnnualAssm[Input Type],$H11)</f>
        <v>0.1</v>
      </c>
      <c r="AH11" s="34">
        <f>SUMIFS(INDEX(tblAnnualAssm[],,MATCH(TEXT(Calculations!AH$8,"0"),tblAnnualAssm[#Headers],0)),tblAnnualAssm[Case],AssmBusinessCase,tblAnnualAssm[Input Type],$H11)</f>
        <v>0.1</v>
      </c>
      <c r="AI11" s="34">
        <f>SUMIFS(INDEX(tblAnnualAssm[],,MATCH(TEXT(Calculations!AI$8,"0"),tblAnnualAssm[#Headers],0)),tblAnnualAssm[Case],AssmBusinessCase,tblAnnualAssm[Input Type],$H11)</f>
        <v>0.1</v>
      </c>
      <c r="AJ11" s="34">
        <f>SUMIFS(INDEX(tblAnnualAssm[],,MATCH(TEXT(Calculations!AJ$8,"0"),tblAnnualAssm[#Headers],0)),tblAnnualAssm[Case],AssmBusinessCase,tblAnnualAssm[Input Type],$H11)</f>
        <v>0.1</v>
      </c>
      <c r="AK11" s="34">
        <f>SUMIFS(INDEX(tblAnnualAssm[],,MATCH(TEXT(Calculations!AK$8,"0"),tblAnnualAssm[#Headers],0)),tblAnnualAssm[Case],AssmBusinessCase,tblAnnualAssm[Input Type],$H11)</f>
        <v>0.1</v>
      </c>
      <c r="AL11" s="34">
        <f>SUMIFS(INDEX(tblAnnualAssm[],,MATCH(TEXT(Calculations!AL$8,"0"),tblAnnualAssm[#Headers],0)),tblAnnualAssm[Case],AssmBusinessCase,tblAnnualAssm[Input Type],$H11)</f>
        <v>0.1</v>
      </c>
      <c r="AM11" s="34">
        <f>SUMIFS(INDEX(tblAnnualAssm[],,MATCH(TEXT(Calculations!AM$8,"0"),tblAnnualAssm[#Headers],0)),tblAnnualAssm[Case],AssmBusinessCase,tblAnnualAssm[Input Type],$H11)</f>
        <v>0.1</v>
      </c>
      <c r="AN11" s="34">
        <f>SUMIFS(INDEX(tblAnnualAssm[],,MATCH(TEXT(Calculations!AN$8,"0"),tblAnnualAssm[#Headers],0)),tblAnnualAssm[Case],AssmBusinessCase,tblAnnualAssm[Input Type],$H11)</f>
        <v>0.1</v>
      </c>
      <c r="AO11" s="34">
        <f>SUMIFS(INDEX(tblAnnualAssm[],,MATCH(TEXT(Calculations!AO$8,"0"),tblAnnualAssm[#Headers],0)),tblAnnualAssm[Case],AssmBusinessCase,tblAnnualAssm[Input Type],$H11)</f>
        <v>0.1</v>
      </c>
      <c r="AP11" s="34">
        <f>SUMIFS(INDEX(tblAnnualAssm[],,MATCH(TEXT(Calculations!AP$8,"0"),tblAnnualAssm[#Headers],0)),tblAnnualAssm[Case],AssmBusinessCase,tblAnnualAssm[Input Type],$H11)</f>
        <v>0.1</v>
      </c>
      <c r="AQ11" s="34">
        <f>SUMIFS(INDEX(tblAnnualAssm[],,MATCH(TEXT(Calculations!AQ$8,"0"),tblAnnualAssm[#Headers],0)),tblAnnualAssm[Case],AssmBusinessCase,tblAnnualAssm[Input Type],$H11)</f>
        <v>0.1</v>
      </c>
      <c r="AR11" s="34">
        <f>SUMIFS(INDEX(tblAnnualAssm[],,MATCH(TEXT(Calculations!AR$8,"0"),tblAnnualAssm[#Headers],0)),tblAnnualAssm[Case],AssmBusinessCase,tblAnnualAssm[Input Type],$H11)</f>
        <v>0.1</v>
      </c>
      <c r="AS11" s="34">
        <f>SUMIFS(INDEX(tblAnnualAssm[],,MATCH(TEXT(Calculations!AS$8,"0"),tblAnnualAssm[#Headers],0)),tblAnnualAssm[Case],AssmBusinessCase,tblAnnualAssm[Input Type],$H11)</f>
        <v>0.1</v>
      </c>
      <c r="AT11" s="34">
        <f>SUMIFS(INDEX(tblAnnualAssm[],,MATCH(TEXT(Calculations!AT$8,"0"),tblAnnualAssm[#Headers],0)),tblAnnualAssm[Case],AssmBusinessCase,tblAnnualAssm[Input Type],$H11)</f>
        <v>0.1</v>
      </c>
      <c r="AU11" s="34">
        <f>SUMIFS(INDEX(tblAnnualAssm[],,MATCH(TEXT(Calculations!AU$8,"0"),tblAnnualAssm[#Headers],0)),tblAnnualAssm[Case],AssmBusinessCase,tblAnnualAssm[Input Type],$H11)</f>
        <v>0.1</v>
      </c>
      <c r="AV11" s="34">
        <f>SUMIFS(INDEX(tblAnnualAssm[],,MATCH(TEXT(Calculations!AV$8,"0"),tblAnnualAssm[#Headers],0)),tblAnnualAssm[Case],AssmBusinessCase,tblAnnualAssm[Input Type],$H11)</f>
        <v>0.1</v>
      </c>
      <c r="AW11" s="34">
        <f>SUMIFS(INDEX(tblAnnualAssm[],,MATCH(TEXT(Calculations!AW$8,"0"),tblAnnualAssm[#Headers],0)),tblAnnualAssm[Case],AssmBusinessCase,tblAnnualAssm[Input Type],$H11)</f>
        <v>0.1</v>
      </c>
      <c r="AX11" s="34">
        <f>SUMIFS(INDEX(tblAnnualAssm[],,MATCH(TEXT(Calculations!AX$8,"0"),tblAnnualAssm[#Headers],0)),tblAnnualAssm[Case],AssmBusinessCase,tblAnnualAssm[Input Type],$H11)</f>
        <v>0.1</v>
      </c>
      <c r="AY11" s="34">
        <f>SUMIFS(INDEX(tblAnnualAssm[],,MATCH(TEXT(Calculations!AY$8,"0"),tblAnnualAssm[#Headers],0)),tblAnnualAssm[Case],AssmBusinessCase,tblAnnualAssm[Input Type],$H11)</f>
        <v>0.1</v>
      </c>
      <c r="AZ11" s="34">
        <f>SUMIFS(INDEX(tblAnnualAssm[],,MATCH(TEXT(Calculations!AZ$8,"0"),tblAnnualAssm[#Headers],0)),tblAnnualAssm[Case],AssmBusinessCase,tblAnnualAssm[Input Type],$H11)</f>
        <v>0.1</v>
      </c>
      <c r="BA11" s="34">
        <f>SUMIFS(INDEX(tblAnnualAssm[],,MATCH(TEXT(Calculations!BA$8,"0"),tblAnnualAssm[#Headers],0)),tblAnnualAssm[Case],AssmBusinessCase,tblAnnualAssm[Input Type],$H11)</f>
        <v>0.1</v>
      </c>
      <c r="BB11" s="34">
        <f>SUMIFS(INDEX(tblAnnualAssm[],,MATCH(TEXT(Calculations!BB$8,"0"),tblAnnualAssm[#Headers],0)),tblAnnualAssm[Case],AssmBusinessCase,tblAnnualAssm[Input Type],$H11)</f>
        <v>0.1</v>
      </c>
      <c r="BC11" s="34">
        <f>SUMIFS(INDEX(tblAnnualAssm[],,MATCH(TEXT(Calculations!BC$8,"0"),tblAnnualAssm[#Headers],0)),tblAnnualAssm[Case],AssmBusinessCase,tblAnnualAssm[Input Type],$H11)</f>
        <v>0.1</v>
      </c>
      <c r="BD11" s="34">
        <f>SUMIFS(INDEX(tblAnnualAssm[],,MATCH(TEXT(Calculations!BD$8,"0"),tblAnnualAssm[#Headers],0)),tblAnnualAssm[Case],AssmBusinessCase,tblAnnualAssm[Input Type],$H11)</f>
        <v>0.1</v>
      </c>
      <c r="BE11" s="34">
        <f>SUMIFS(INDEX(tblAnnualAssm[],,MATCH(TEXT(Calculations!BE$8,"0"),tblAnnualAssm[#Headers],0)),tblAnnualAssm[Case],AssmBusinessCase,tblAnnualAssm[Input Type],$H11)</f>
        <v>0.1</v>
      </c>
      <c r="BF11" s="34">
        <f>SUMIFS(INDEX(tblAnnualAssm[],,MATCH(TEXT(Calculations!BF$8,"0"),tblAnnualAssm[#Headers],0)),tblAnnualAssm[Case],AssmBusinessCase,tblAnnualAssm[Input Type],$H11)</f>
        <v>0.1</v>
      </c>
      <c r="BG11" s="34">
        <f>SUMIFS(INDEX(tblAnnualAssm[],,MATCH(TEXT(Calculations!BG$8,"0"),tblAnnualAssm[#Headers],0)),tblAnnualAssm[Case],AssmBusinessCase,tblAnnualAssm[Input Type],$H11)</f>
        <v>0.1</v>
      </c>
      <c r="BH11" s="34">
        <f>SUMIFS(INDEX(tblAnnualAssm[],,MATCH(TEXT(Calculations!BH$8,"0"),tblAnnualAssm[#Headers],0)),tblAnnualAssm[Case],AssmBusinessCase,tblAnnualAssm[Input Type],$H11)</f>
        <v>0.1</v>
      </c>
      <c r="BI11" s="34">
        <f>SUMIFS(INDEX(tblAnnualAssm[],,MATCH(TEXT(Calculations!BI$8,"0"),tblAnnualAssm[#Headers],0)),tblAnnualAssm[Case],AssmBusinessCase,tblAnnualAssm[Input Type],$H11)</f>
        <v>0.1</v>
      </c>
      <c r="BJ11" s="34">
        <f>SUMIFS(INDEX(tblAnnualAssm[],,MATCH(TEXT(Calculations!BJ$8,"0"),tblAnnualAssm[#Headers],0)),tblAnnualAssm[Case],AssmBusinessCase,tblAnnualAssm[Input Type],$H11)</f>
        <v>0.1</v>
      </c>
      <c r="BK11" s="34">
        <f>SUMIFS(INDEX(tblAnnualAssm[],,MATCH(TEXT(Calculations!BK$8,"0"),tblAnnualAssm[#Headers],0)),tblAnnualAssm[Case],AssmBusinessCase,tblAnnualAssm[Input Type],$H11)</f>
        <v>0.1</v>
      </c>
      <c r="BL11" s="34">
        <f>SUMIFS(INDEX(tblAnnualAssm[],,MATCH(TEXT(Calculations!BL$8,"0"),tblAnnualAssm[#Headers],0)),tblAnnualAssm[Case],AssmBusinessCase,tblAnnualAssm[Input Type],$H11)</f>
        <v>0.1</v>
      </c>
      <c r="BM11" s="34">
        <f>SUMIFS(INDEX(tblAnnualAssm[],,MATCH(TEXT(Calculations!BM$8,"0"),tblAnnualAssm[#Headers],0)),tblAnnualAssm[Case],AssmBusinessCase,tblAnnualAssm[Input Type],$H11)</f>
        <v>0.1</v>
      </c>
      <c r="BN11" s="34">
        <f>SUMIFS(INDEX(tblAnnualAssm[],,MATCH(TEXT(Calculations!BN$8,"0"),tblAnnualAssm[#Headers],0)),tblAnnualAssm[Case],AssmBusinessCase,tblAnnualAssm[Input Type],$H11)</f>
        <v>0.1</v>
      </c>
      <c r="BO11" s="34">
        <f>SUMIFS(INDEX(tblAnnualAssm[],,MATCH(TEXT(Calculations!BO$8,"0"),tblAnnualAssm[#Headers],0)),tblAnnualAssm[Case],AssmBusinessCase,tblAnnualAssm[Input Type],$H11)</f>
        <v>0.1</v>
      </c>
      <c r="BP11" s="34">
        <f>SUMIFS(INDEX(tblAnnualAssm[],,MATCH(TEXT(Calculations!BP$8,"0"),tblAnnualAssm[#Headers],0)),tblAnnualAssm[Case],AssmBusinessCase,tblAnnualAssm[Input Type],$H11)</f>
        <v>0.1</v>
      </c>
    </row>
    <row r="12" spans="1:71" s="30" customFormat="1" ht="15" x14ac:dyDescent="0.25">
      <c r="C12" s="30" t="s">
        <v>69</v>
      </c>
      <c r="H12" s="33" t="s">
        <v>70</v>
      </c>
      <c r="I12" s="34">
        <f ca="1">SUMIFS(OFFSET(tblAnnualAssm[Case],0,MATCH(TEXT(Calculations!I$8,0),tblAnnualAssm[#Headers],0)-1),tblAnnualAssm[Case],AssmBusinessCase,tblAnnualAssm[Input Type],Calculations!$H12)</f>
        <v>2.5000000000000001E-3</v>
      </c>
      <c r="J12" s="34">
        <f ca="1">SUMIFS(OFFSET(tblAnnualAssm[Case],0,MATCH(TEXT(Calculations!J$8,0),tblAnnualAssm[#Headers],0)-1),tblAnnualAssm[Case],AssmBusinessCase,tblAnnualAssm[Input Type],Calculations!$H12)</f>
        <v>2.5000000000000001E-3</v>
      </c>
      <c r="K12" s="34">
        <f ca="1">SUMIFS(OFFSET(tblAnnualAssm[Case],0,MATCH(TEXT(Calculations!K$8,0),tblAnnualAssm[#Headers],0)-1),tblAnnualAssm[Case],AssmBusinessCase,tblAnnualAssm[Input Type],Calculations!$H12)</f>
        <v>2.5000000000000001E-3</v>
      </c>
      <c r="L12" s="34">
        <f ca="1">SUMIFS(OFFSET(tblAnnualAssm[Case],0,MATCH(TEXT(Calculations!L$8,0),tblAnnualAssm[#Headers],0)-1),tblAnnualAssm[Case],AssmBusinessCase,tblAnnualAssm[Input Type],Calculations!$H12)</f>
        <v>2.5000000000000001E-3</v>
      </c>
      <c r="M12" s="34">
        <f ca="1">SUMIFS(OFFSET(tblAnnualAssm[Case],0,MATCH(TEXT(Calculations!M$8,0),tblAnnualAssm[#Headers],0)-1),tblAnnualAssm[Case],AssmBusinessCase,tblAnnualAssm[Input Type],Calculations!$H12)</f>
        <v>2.5000000000000001E-3</v>
      </c>
      <c r="N12" s="34">
        <f ca="1">SUMIFS(OFFSET(tblAnnualAssm[Case],0,MATCH(TEXT(Calculations!N$8,0),tblAnnualAssm[#Headers],0)-1),tblAnnualAssm[Case],AssmBusinessCase,tblAnnualAssm[Input Type],Calculations!$H12)</f>
        <v>2.5000000000000001E-3</v>
      </c>
      <c r="O12" s="34">
        <f ca="1">SUMIFS(OFFSET(tblAnnualAssm[Case],0,MATCH(TEXT(Calculations!O$8,0),tblAnnualAssm[#Headers],0)-1),tblAnnualAssm[Case],AssmBusinessCase,tblAnnualAssm[Input Type],Calculations!$H12)</f>
        <v>2.5000000000000001E-3</v>
      </c>
      <c r="P12" s="34">
        <f ca="1">SUMIFS(OFFSET(tblAnnualAssm[Case],0,MATCH(TEXT(Calculations!P$8,0),tblAnnualAssm[#Headers],0)-1),tblAnnualAssm[Case],AssmBusinessCase,tblAnnualAssm[Input Type],Calculations!$H12)</f>
        <v>2.5000000000000001E-3</v>
      </c>
      <c r="Q12" s="34">
        <f ca="1">SUMIFS(OFFSET(tblAnnualAssm[Case],0,MATCH(TEXT(Calculations!Q$8,0),tblAnnualAssm[#Headers],0)-1),tblAnnualAssm[Case],AssmBusinessCase,tblAnnualAssm[Input Type],Calculations!$H12)</f>
        <v>2.5000000000000001E-3</v>
      </c>
      <c r="R12" s="34">
        <f ca="1">SUMIFS(OFFSET(tblAnnualAssm[Case],0,MATCH(TEXT(Calculations!R$8,0),tblAnnualAssm[#Headers],0)-1),tblAnnualAssm[Case],AssmBusinessCase,tblAnnualAssm[Input Type],Calculations!$H12)</f>
        <v>2.5000000000000001E-3</v>
      </c>
      <c r="S12" s="34">
        <f ca="1">SUMIFS(OFFSET(tblAnnualAssm[Case],0,MATCH(TEXT(Calculations!S$8,0),tblAnnualAssm[#Headers],0)-1),tblAnnualAssm[Case],AssmBusinessCase,tblAnnualAssm[Input Type],Calculations!$H12)</f>
        <v>2.5000000000000001E-3</v>
      </c>
      <c r="T12" s="34">
        <f ca="1">SUMIFS(OFFSET(tblAnnualAssm[Case],0,MATCH(TEXT(Calculations!T$8,0),tblAnnualAssm[#Headers],0)-1),tblAnnualAssm[Case],AssmBusinessCase,tblAnnualAssm[Input Type],Calculations!$H12)</f>
        <v>2.5000000000000001E-3</v>
      </c>
      <c r="U12" s="34">
        <f ca="1">SUMIFS(OFFSET(tblAnnualAssm[Case],0,MATCH(TEXT(Calculations!U$8,0),tblAnnualAssm[#Headers],0)-1),tblAnnualAssm[Case],AssmBusinessCase,tblAnnualAssm[Input Type],Calculations!$H12)</f>
        <v>1.5E-3</v>
      </c>
      <c r="V12" s="34">
        <f ca="1">SUMIFS(OFFSET(tblAnnualAssm[Case],0,MATCH(TEXT(Calculations!V$8,0),tblAnnualAssm[#Headers],0)-1),tblAnnualAssm[Case],AssmBusinessCase,tblAnnualAssm[Input Type],Calculations!$H12)</f>
        <v>1.5E-3</v>
      </c>
      <c r="W12" s="34">
        <f ca="1">SUMIFS(OFFSET(tblAnnualAssm[Case],0,MATCH(TEXT(Calculations!W$8,0),tblAnnualAssm[#Headers],0)-1),tblAnnualAssm[Case],AssmBusinessCase,tblAnnualAssm[Input Type],Calculations!$H12)</f>
        <v>1.5E-3</v>
      </c>
      <c r="X12" s="34">
        <f ca="1">SUMIFS(OFFSET(tblAnnualAssm[Case],0,MATCH(TEXT(Calculations!X$8,0),tblAnnualAssm[#Headers],0)-1),tblAnnualAssm[Case],AssmBusinessCase,tblAnnualAssm[Input Type],Calculations!$H12)</f>
        <v>1.5E-3</v>
      </c>
      <c r="Y12" s="34">
        <f ca="1">SUMIFS(OFFSET(tblAnnualAssm[Case],0,MATCH(TEXT(Calculations!Y$8,0),tblAnnualAssm[#Headers],0)-1),tblAnnualAssm[Case],AssmBusinessCase,tblAnnualAssm[Input Type],Calculations!$H12)</f>
        <v>1.5E-3</v>
      </c>
      <c r="Z12" s="34">
        <f ca="1">SUMIFS(OFFSET(tblAnnualAssm[Case],0,MATCH(TEXT(Calculations!Z$8,0),tblAnnualAssm[#Headers],0)-1),tblAnnualAssm[Case],AssmBusinessCase,tblAnnualAssm[Input Type],Calculations!$H12)</f>
        <v>1.5E-3</v>
      </c>
      <c r="AA12" s="34">
        <f ca="1">SUMIFS(OFFSET(tblAnnualAssm[Case],0,MATCH(TEXT(Calculations!AA$8,0),tblAnnualAssm[#Headers],0)-1),tblAnnualAssm[Case],AssmBusinessCase,tblAnnualAssm[Input Type],Calculations!$H12)</f>
        <v>1.5E-3</v>
      </c>
      <c r="AB12" s="34">
        <f ca="1">SUMIFS(OFFSET(tblAnnualAssm[Case],0,MATCH(TEXT(Calculations!AB$8,0),tblAnnualAssm[#Headers],0)-1),tblAnnualAssm[Case],AssmBusinessCase,tblAnnualAssm[Input Type],Calculations!$H12)</f>
        <v>1.5E-3</v>
      </c>
      <c r="AC12" s="34">
        <f ca="1">SUMIFS(OFFSET(tblAnnualAssm[Case],0,MATCH(TEXT(Calculations!AC$8,0),tblAnnualAssm[#Headers],0)-1),tblAnnualAssm[Case],AssmBusinessCase,tblAnnualAssm[Input Type],Calculations!$H12)</f>
        <v>1.5E-3</v>
      </c>
      <c r="AD12" s="34">
        <f ca="1">SUMIFS(OFFSET(tblAnnualAssm[Case],0,MATCH(TEXT(Calculations!AD$8,0),tblAnnualAssm[#Headers],0)-1),tblAnnualAssm[Case],AssmBusinessCase,tblAnnualAssm[Input Type],Calculations!$H12)</f>
        <v>1.5E-3</v>
      </c>
      <c r="AE12" s="34">
        <f ca="1">SUMIFS(OFFSET(tblAnnualAssm[Case],0,MATCH(TEXT(Calculations!AE$8,0),tblAnnualAssm[#Headers],0)-1),tblAnnualAssm[Case],AssmBusinessCase,tblAnnualAssm[Input Type],Calculations!$H12)</f>
        <v>1.5E-3</v>
      </c>
      <c r="AF12" s="34">
        <f ca="1">SUMIFS(OFFSET(tblAnnualAssm[Case],0,MATCH(TEXT(Calculations!AF$8,0),tblAnnualAssm[#Headers],0)-1),tblAnnualAssm[Case],AssmBusinessCase,tblAnnualAssm[Input Type],Calculations!$H12)</f>
        <v>1.5E-3</v>
      </c>
      <c r="AG12" s="34">
        <f ca="1">SUMIFS(OFFSET(tblAnnualAssm[Case],0,MATCH(TEXT(Calculations!AG$8,0),tblAnnualAssm[#Headers],0)-1),tblAnnualAssm[Case],AssmBusinessCase,tblAnnualAssm[Input Type],Calculations!$H12)</f>
        <v>1.5E-3</v>
      </c>
      <c r="AH12" s="34">
        <f ca="1">SUMIFS(OFFSET(tblAnnualAssm[Case],0,MATCH(TEXT(Calculations!AH$8,0),tblAnnualAssm[#Headers],0)-1),tblAnnualAssm[Case],AssmBusinessCase,tblAnnualAssm[Input Type],Calculations!$H12)</f>
        <v>1.5E-3</v>
      </c>
      <c r="AI12" s="34">
        <f ca="1">SUMIFS(OFFSET(tblAnnualAssm[Case],0,MATCH(TEXT(Calculations!AI$8,0),tblAnnualAssm[#Headers],0)-1),tblAnnualAssm[Case],AssmBusinessCase,tblAnnualAssm[Input Type],Calculations!$H12)</f>
        <v>1.5E-3</v>
      </c>
      <c r="AJ12" s="34">
        <f ca="1">SUMIFS(OFFSET(tblAnnualAssm[Case],0,MATCH(TEXT(Calculations!AJ$8,0),tblAnnualAssm[#Headers],0)-1),tblAnnualAssm[Case],AssmBusinessCase,tblAnnualAssm[Input Type],Calculations!$H12)</f>
        <v>1.5E-3</v>
      </c>
      <c r="AK12" s="34">
        <f ca="1">SUMIFS(OFFSET(tblAnnualAssm[Case],0,MATCH(TEXT(Calculations!AK$8,0),tblAnnualAssm[#Headers],0)-1),tblAnnualAssm[Case],AssmBusinessCase,tblAnnualAssm[Input Type],Calculations!$H12)</f>
        <v>1.5E-3</v>
      </c>
      <c r="AL12" s="34">
        <f ca="1">SUMIFS(OFFSET(tblAnnualAssm[Case],0,MATCH(TEXT(Calculations!AL$8,0),tblAnnualAssm[#Headers],0)-1),tblAnnualAssm[Case],AssmBusinessCase,tblAnnualAssm[Input Type],Calculations!$H12)</f>
        <v>1.5E-3</v>
      </c>
      <c r="AM12" s="34">
        <f ca="1">SUMIFS(OFFSET(tblAnnualAssm[Case],0,MATCH(TEXT(Calculations!AM$8,0),tblAnnualAssm[#Headers],0)-1),tblAnnualAssm[Case],AssmBusinessCase,tblAnnualAssm[Input Type],Calculations!$H12)</f>
        <v>1.5E-3</v>
      </c>
      <c r="AN12" s="34">
        <f ca="1">SUMIFS(OFFSET(tblAnnualAssm[Case],0,MATCH(TEXT(Calculations!AN$8,0),tblAnnualAssm[#Headers],0)-1),tblAnnualAssm[Case],AssmBusinessCase,tblAnnualAssm[Input Type],Calculations!$H12)</f>
        <v>1.5E-3</v>
      </c>
      <c r="AO12" s="34">
        <f ca="1">SUMIFS(OFFSET(tblAnnualAssm[Case],0,MATCH(TEXT(Calculations!AO$8,0),tblAnnualAssm[#Headers],0)-1),tblAnnualAssm[Case],AssmBusinessCase,tblAnnualAssm[Input Type],Calculations!$H12)</f>
        <v>1.5E-3</v>
      </c>
      <c r="AP12" s="34">
        <f ca="1">SUMIFS(OFFSET(tblAnnualAssm[Case],0,MATCH(TEXT(Calculations!AP$8,0),tblAnnualAssm[#Headers],0)-1),tblAnnualAssm[Case],AssmBusinessCase,tblAnnualAssm[Input Type],Calculations!$H12)</f>
        <v>1.5E-3</v>
      </c>
      <c r="AQ12" s="34">
        <f ca="1">SUMIFS(OFFSET(tblAnnualAssm[Case],0,MATCH(TEXT(Calculations!AQ$8,0),tblAnnualAssm[#Headers],0)-1),tblAnnualAssm[Case],AssmBusinessCase,tblAnnualAssm[Input Type],Calculations!$H12)</f>
        <v>1.5E-3</v>
      </c>
      <c r="AR12" s="34">
        <f ca="1">SUMIFS(OFFSET(tblAnnualAssm[Case],0,MATCH(TEXT(Calculations!AR$8,0),tblAnnualAssm[#Headers],0)-1),tblAnnualAssm[Case],AssmBusinessCase,tblAnnualAssm[Input Type],Calculations!$H12)</f>
        <v>1.5E-3</v>
      </c>
      <c r="AS12" s="34">
        <f ca="1">SUMIFS(OFFSET(tblAnnualAssm[Case],0,MATCH(TEXT(Calculations!AS$8,0),tblAnnualAssm[#Headers],0)-1),tblAnnualAssm[Case],AssmBusinessCase,tblAnnualAssm[Input Type],Calculations!$H12)</f>
        <v>1E-3</v>
      </c>
      <c r="AT12" s="34">
        <f ca="1">SUMIFS(OFFSET(tblAnnualAssm[Case],0,MATCH(TEXT(Calculations!AT$8,0),tblAnnualAssm[#Headers],0)-1),tblAnnualAssm[Case],AssmBusinessCase,tblAnnualAssm[Input Type],Calculations!$H12)</f>
        <v>1E-3</v>
      </c>
      <c r="AU12" s="34">
        <f ca="1">SUMIFS(OFFSET(tblAnnualAssm[Case],0,MATCH(TEXT(Calculations!AU$8,0),tblAnnualAssm[#Headers],0)-1),tblAnnualAssm[Case],AssmBusinessCase,tblAnnualAssm[Input Type],Calculations!$H12)</f>
        <v>1E-3</v>
      </c>
      <c r="AV12" s="34">
        <f ca="1">SUMIFS(OFFSET(tblAnnualAssm[Case],0,MATCH(TEXT(Calculations!AV$8,0),tblAnnualAssm[#Headers],0)-1),tblAnnualAssm[Case],AssmBusinessCase,tblAnnualAssm[Input Type],Calculations!$H12)</f>
        <v>1E-3</v>
      </c>
      <c r="AW12" s="34">
        <f ca="1">SUMIFS(OFFSET(tblAnnualAssm[Case],0,MATCH(TEXT(Calculations!AW$8,0),tblAnnualAssm[#Headers],0)-1),tblAnnualAssm[Case],AssmBusinessCase,tblAnnualAssm[Input Type],Calculations!$H12)</f>
        <v>1E-3</v>
      </c>
      <c r="AX12" s="34">
        <f ca="1">SUMIFS(OFFSET(tblAnnualAssm[Case],0,MATCH(TEXT(Calculations!AX$8,0),tblAnnualAssm[#Headers],0)-1),tblAnnualAssm[Case],AssmBusinessCase,tblAnnualAssm[Input Type],Calculations!$H12)</f>
        <v>1E-3</v>
      </c>
      <c r="AY12" s="34">
        <f ca="1">SUMIFS(OFFSET(tblAnnualAssm[Case],0,MATCH(TEXT(Calculations!AY$8,0),tblAnnualAssm[#Headers],0)-1),tblAnnualAssm[Case],AssmBusinessCase,tblAnnualAssm[Input Type],Calculations!$H12)</f>
        <v>1E-3</v>
      </c>
      <c r="AZ12" s="34">
        <f ca="1">SUMIFS(OFFSET(tblAnnualAssm[Case],0,MATCH(TEXT(Calculations!AZ$8,0),tblAnnualAssm[#Headers],0)-1),tblAnnualAssm[Case],AssmBusinessCase,tblAnnualAssm[Input Type],Calculations!$H12)</f>
        <v>1E-3</v>
      </c>
      <c r="BA12" s="34">
        <f ca="1">SUMIFS(OFFSET(tblAnnualAssm[Case],0,MATCH(TEXT(Calculations!BA$8,0),tblAnnualAssm[#Headers],0)-1),tblAnnualAssm[Case],AssmBusinessCase,tblAnnualAssm[Input Type],Calculations!$H12)</f>
        <v>1E-3</v>
      </c>
      <c r="BB12" s="34">
        <f ca="1">SUMIFS(OFFSET(tblAnnualAssm[Case],0,MATCH(TEXT(Calculations!BB$8,0),tblAnnualAssm[#Headers],0)-1),tblAnnualAssm[Case],AssmBusinessCase,tblAnnualAssm[Input Type],Calculations!$H12)</f>
        <v>1E-3</v>
      </c>
      <c r="BC12" s="34">
        <f ca="1">SUMIFS(OFFSET(tblAnnualAssm[Case],0,MATCH(TEXT(Calculations!BC$8,0),tblAnnualAssm[#Headers],0)-1),tblAnnualAssm[Case],AssmBusinessCase,tblAnnualAssm[Input Type],Calculations!$H12)</f>
        <v>1E-3</v>
      </c>
      <c r="BD12" s="34">
        <f ca="1">SUMIFS(OFFSET(tblAnnualAssm[Case],0,MATCH(TEXT(Calculations!BD$8,0),tblAnnualAssm[#Headers],0)-1),tblAnnualAssm[Case],AssmBusinessCase,tblAnnualAssm[Input Type],Calculations!$H12)</f>
        <v>1E-3</v>
      </c>
      <c r="BE12" s="34">
        <f ca="1">SUMIFS(OFFSET(tblAnnualAssm[Case],0,MATCH(TEXT(Calculations!BE$8,0),tblAnnualAssm[#Headers],0)-1),tblAnnualAssm[Case],AssmBusinessCase,tblAnnualAssm[Input Type],Calculations!$H12)</f>
        <v>1E-3</v>
      </c>
      <c r="BF12" s="34">
        <f ca="1">SUMIFS(OFFSET(tblAnnualAssm[Case],0,MATCH(TEXT(Calculations!BF$8,0),tblAnnualAssm[#Headers],0)-1),tblAnnualAssm[Case],AssmBusinessCase,tblAnnualAssm[Input Type],Calculations!$H12)</f>
        <v>1E-3</v>
      </c>
      <c r="BG12" s="34">
        <f ca="1">SUMIFS(OFFSET(tblAnnualAssm[Case],0,MATCH(TEXT(Calculations!BG$8,0),tblAnnualAssm[#Headers],0)-1),tblAnnualAssm[Case],AssmBusinessCase,tblAnnualAssm[Input Type],Calculations!$H12)</f>
        <v>1E-3</v>
      </c>
      <c r="BH12" s="34">
        <f ca="1">SUMIFS(OFFSET(tblAnnualAssm[Case],0,MATCH(TEXT(Calculations!BH$8,0),tblAnnualAssm[#Headers],0)-1),tblAnnualAssm[Case],AssmBusinessCase,tblAnnualAssm[Input Type],Calculations!$H12)</f>
        <v>1E-3</v>
      </c>
      <c r="BI12" s="34">
        <f ca="1">SUMIFS(OFFSET(tblAnnualAssm[Case],0,MATCH(TEXT(Calculations!BI$8,0),tblAnnualAssm[#Headers],0)-1),tblAnnualAssm[Case],AssmBusinessCase,tblAnnualAssm[Input Type],Calculations!$H12)</f>
        <v>1E-3</v>
      </c>
      <c r="BJ12" s="34">
        <f ca="1">SUMIFS(OFFSET(tblAnnualAssm[Case],0,MATCH(TEXT(Calculations!BJ$8,0),tblAnnualAssm[#Headers],0)-1),tblAnnualAssm[Case],AssmBusinessCase,tblAnnualAssm[Input Type],Calculations!$H12)</f>
        <v>1E-3</v>
      </c>
      <c r="BK12" s="34">
        <f ca="1">SUMIFS(OFFSET(tblAnnualAssm[Case],0,MATCH(TEXT(Calculations!BK$8,0),tblAnnualAssm[#Headers],0)-1),tblAnnualAssm[Case],AssmBusinessCase,tblAnnualAssm[Input Type],Calculations!$H12)</f>
        <v>1E-3</v>
      </c>
      <c r="BL12" s="34">
        <f ca="1">SUMIFS(OFFSET(tblAnnualAssm[Case],0,MATCH(TEXT(Calculations!BL$8,0),tblAnnualAssm[#Headers],0)-1),tblAnnualAssm[Case],AssmBusinessCase,tblAnnualAssm[Input Type],Calculations!$H12)</f>
        <v>1E-3</v>
      </c>
      <c r="BM12" s="34">
        <f ca="1">SUMIFS(OFFSET(tblAnnualAssm[Case],0,MATCH(TEXT(Calculations!BM$8,0),tblAnnualAssm[#Headers],0)-1),tblAnnualAssm[Case],AssmBusinessCase,tblAnnualAssm[Input Type],Calculations!$H12)</f>
        <v>1E-3</v>
      </c>
      <c r="BN12" s="34">
        <f ca="1">SUMIFS(OFFSET(tblAnnualAssm[Case],0,MATCH(TEXT(Calculations!BN$8,0),tblAnnualAssm[#Headers],0)-1),tblAnnualAssm[Case],AssmBusinessCase,tblAnnualAssm[Input Type],Calculations!$H12)</f>
        <v>1E-3</v>
      </c>
      <c r="BO12" s="34">
        <f ca="1">SUMIFS(OFFSET(tblAnnualAssm[Case],0,MATCH(TEXT(Calculations!BO$8,0),tblAnnualAssm[#Headers],0)-1),tblAnnualAssm[Case],AssmBusinessCase,tblAnnualAssm[Input Type],Calculations!$H12)</f>
        <v>1E-3</v>
      </c>
      <c r="BP12" s="34">
        <f ca="1">SUMIFS(OFFSET(tblAnnualAssm[Case],0,MATCH(TEXT(Calculations!BP$8,0),tblAnnualAssm[#Headers],0)-1),tblAnnualAssm[Case],AssmBusinessCase,tblAnnualAssm[Input Type],Calculations!$H12)</f>
        <v>1E-3</v>
      </c>
    </row>
    <row r="13" spans="1:71" s="30" customFormat="1" ht="15" x14ac:dyDescent="0.25"/>
    <row r="14" spans="1:71" s="30" customFormat="1" ht="15" x14ac:dyDescent="0.25">
      <c r="A14" s="31"/>
      <c r="B14" s="31"/>
      <c r="C14" s="31" t="s">
        <v>71</v>
      </c>
    </row>
    <row r="15" spans="1:71" s="30" customFormat="1" ht="15" x14ac:dyDescent="0.25">
      <c r="D15" s="30" t="s">
        <v>72</v>
      </c>
      <c r="I15" s="32">
        <f>H18</f>
        <v>100</v>
      </c>
      <c r="J15" s="32">
        <f t="shared" ref="J15:BP15" ca="1" si="0">I18</f>
        <v>129</v>
      </c>
      <c r="K15" s="32">
        <f t="shared" ca="1" si="0"/>
        <v>167</v>
      </c>
      <c r="L15" s="32">
        <f t="shared" ca="1" si="0"/>
        <v>216</v>
      </c>
      <c r="M15" s="32">
        <f t="shared" ca="1" si="0"/>
        <v>280</v>
      </c>
      <c r="N15" s="32">
        <f t="shared" ca="1" si="0"/>
        <v>363</v>
      </c>
      <c r="O15" s="32">
        <f t="shared" ca="1" si="0"/>
        <v>471</v>
      </c>
      <c r="P15" s="32">
        <f t="shared" ca="1" si="0"/>
        <v>610</v>
      </c>
      <c r="Q15" s="32">
        <f t="shared" ca="1" si="0"/>
        <v>791</v>
      </c>
      <c r="R15" s="32">
        <f t="shared" ca="1" si="0"/>
        <v>1026</v>
      </c>
      <c r="S15" s="32">
        <f t="shared" ca="1" si="0"/>
        <v>1331</v>
      </c>
      <c r="T15" s="32">
        <f t="shared" ca="1" si="0"/>
        <v>1726</v>
      </c>
      <c r="U15" s="32">
        <f t="shared" ca="1" si="0"/>
        <v>2239</v>
      </c>
      <c r="V15" s="32">
        <f t="shared" ca="1" si="0"/>
        <v>2907</v>
      </c>
      <c r="W15" s="32">
        <f t="shared" ca="1" si="0"/>
        <v>3774</v>
      </c>
      <c r="X15" s="32">
        <f t="shared" ca="1" si="0"/>
        <v>4900</v>
      </c>
      <c r="Y15" s="32">
        <f t="shared" ca="1" si="0"/>
        <v>6362</v>
      </c>
      <c r="Z15" s="32">
        <f t="shared" ca="1" si="0"/>
        <v>8261</v>
      </c>
      <c r="AA15" s="32">
        <f t="shared" ca="1" si="0"/>
        <v>10726</v>
      </c>
      <c r="AB15" s="32">
        <f t="shared" ca="1" si="0"/>
        <v>13927</v>
      </c>
      <c r="AC15" s="32">
        <f t="shared" ca="1" si="0"/>
        <v>18084</v>
      </c>
      <c r="AD15" s="32">
        <f t="shared" ca="1" si="0"/>
        <v>23481</v>
      </c>
      <c r="AE15" s="32">
        <f t="shared" ca="1" si="0"/>
        <v>30489</v>
      </c>
      <c r="AF15" s="32">
        <f t="shared" ca="1" si="0"/>
        <v>39590</v>
      </c>
      <c r="AG15" s="32">
        <f t="shared" ca="1" si="0"/>
        <v>51407</v>
      </c>
      <c r="AH15" s="32">
        <f t="shared" ca="1" si="0"/>
        <v>56470</v>
      </c>
      <c r="AI15" s="32">
        <f t="shared" ca="1" si="0"/>
        <v>62032</v>
      </c>
      <c r="AJ15" s="32">
        <f t="shared" ca="1" si="0"/>
        <v>68141</v>
      </c>
      <c r="AK15" s="32">
        <f t="shared" ca="1" si="0"/>
        <v>74852</v>
      </c>
      <c r="AL15" s="32">
        <f t="shared" ca="1" si="0"/>
        <v>82224</v>
      </c>
      <c r="AM15" s="32">
        <f t="shared" ca="1" si="0"/>
        <v>90322</v>
      </c>
      <c r="AN15" s="32">
        <f t="shared" ca="1" si="0"/>
        <v>99218</v>
      </c>
      <c r="AO15" s="32">
        <f t="shared" ca="1" si="0"/>
        <v>108991</v>
      </c>
      <c r="AP15" s="32">
        <f t="shared" ca="1" si="0"/>
        <v>119726</v>
      </c>
      <c r="AQ15" s="32">
        <f t="shared" ca="1" si="0"/>
        <v>131519</v>
      </c>
      <c r="AR15" s="32">
        <f t="shared" ca="1" si="0"/>
        <v>144473</v>
      </c>
      <c r="AS15" s="32">
        <f t="shared" ca="1" si="0"/>
        <v>158703</v>
      </c>
      <c r="AT15" s="32">
        <f t="shared" ca="1" si="0"/>
        <v>174414</v>
      </c>
      <c r="AU15" s="32">
        <f t="shared" ca="1" si="0"/>
        <v>191680</v>
      </c>
      <c r="AV15" s="32">
        <f t="shared" ca="1" si="0"/>
        <v>210656</v>
      </c>
      <c r="AW15" s="32">
        <f t="shared" ca="1" si="0"/>
        <v>231511</v>
      </c>
      <c r="AX15" s="32">
        <f t="shared" ca="1" si="0"/>
        <v>254430</v>
      </c>
      <c r="AY15" s="32">
        <f t="shared" ca="1" si="0"/>
        <v>279618</v>
      </c>
      <c r="AZ15" s="32">
        <f t="shared" ca="1" si="0"/>
        <v>307300</v>
      </c>
      <c r="BA15" s="32">
        <f t="shared" ca="1" si="0"/>
        <v>337722</v>
      </c>
      <c r="BB15" s="32">
        <f t="shared" ca="1" si="0"/>
        <v>371156</v>
      </c>
      <c r="BC15" s="32">
        <f t="shared" ca="1" si="0"/>
        <v>407900</v>
      </c>
      <c r="BD15" s="32">
        <f t="shared" ca="1" si="0"/>
        <v>448282</v>
      </c>
      <c r="BE15" s="32">
        <f t="shared" ca="1" si="0"/>
        <v>492661</v>
      </c>
      <c r="BF15" s="32">
        <f t="shared" ca="1" si="0"/>
        <v>541434</v>
      </c>
      <c r="BG15" s="32">
        <f t="shared" ca="1" si="0"/>
        <v>595035</v>
      </c>
      <c r="BH15" s="32">
        <f t="shared" ca="1" si="0"/>
        <v>653943</v>
      </c>
      <c r="BI15" s="32">
        <f t="shared" ca="1" si="0"/>
        <v>718683</v>
      </c>
      <c r="BJ15" s="32">
        <f t="shared" ca="1" si="0"/>
        <v>789832</v>
      </c>
      <c r="BK15" s="32">
        <f t="shared" ca="1" si="0"/>
        <v>868025</v>
      </c>
      <c r="BL15" s="32">
        <f t="shared" ca="1" si="0"/>
        <v>953959</v>
      </c>
      <c r="BM15" s="32">
        <f t="shared" ca="1" si="0"/>
        <v>1048401</v>
      </c>
      <c r="BN15" s="32">
        <f t="shared" ca="1" si="0"/>
        <v>1152192</v>
      </c>
      <c r="BO15" s="32">
        <f t="shared" ca="1" si="0"/>
        <v>1266258</v>
      </c>
      <c r="BP15" s="32">
        <f t="shared" ca="1" si="0"/>
        <v>1391617</v>
      </c>
    </row>
    <row r="16" spans="1:71" s="30" customFormat="1" ht="15" x14ac:dyDescent="0.25">
      <c r="E16" s="30" t="s">
        <v>73</v>
      </c>
      <c r="I16" s="32">
        <f>ROUND(I15*I11,0)</f>
        <v>30</v>
      </c>
      <c r="J16" s="32">
        <f t="shared" ref="J16:BP16" ca="1" si="1">ROUND(J15*J11,0)</f>
        <v>39</v>
      </c>
      <c r="K16" s="32">
        <f t="shared" ca="1" si="1"/>
        <v>50</v>
      </c>
      <c r="L16" s="32">
        <f t="shared" ca="1" si="1"/>
        <v>65</v>
      </c>
      <c r="M16" s="32">
        <f t="shared" ca="1" si="1"/>
        <v>84</v>
      </c>
      <c r="N16" s="32">
        <f t="shared" ca="1" si="1"/>
        <v>109</v>
      </c>
      <c r="O16" s="32">
        <f t="shared" ca="1" si="1"/>
        <v>141</v>
      </c>
      <c r="P16" s="32">
        <f t="shared" ca="1" si="1"/>
        <v>183</v>
      </c>
      <c r="Q16" s="32">
        <f t="shared" ca="1" si="1"/>
        <v>237</v>
      </c>
      <c r="R16" s="32">
        <f t="shared" ca="1" si="1"/>
        <v>308</v>
      </c>
      <c r="S16" s="32">
        <f t="shared" ca="1" si="1"/>
        <v>399</v>
      </c>
      <c r="T16" s="32">
        <f t="shared" ca="1" si="1"/>
        <v>518</v>
      </c>
      <c r="U16" s="32">
        <f t="shared" ca="1" si="1"/>
        <v>672</v>
      </c>
      <c r="V16" s="32">
        <f t="shared" ca="1" si="1"/>
        <v>872</v>
      </c>
      <c r="W16" s="32">
        <f t="shared" ca="1" si="1"/>
        <v>1132</v>
      </c>
      <c r="X16" s="32">
        <f t="shared" ca="1" si="1"/>
        <v>1470</v>
      </c>
      <c r="Y16" s="32">
        <f t="shared" ca="1" si="1"/>
        <v>1909</v>
      </c>
      <c r="Z16" s="32">
        <f t="shared" ca="1" si="1"/>
        <v>2478</v>
      </c>
      <c r="AA16" s="32">
        <f t="shared" ca="1" si="1"/>
        <v>3218</v>
      </c>
      <c r="AB16" s="32">
        <f t="shared" ca="1" si="1"/>
        <v>4178</v>
      </c>
      <c r="AC16" s="32">
        <f t="shared" ca="1" si="1"/>
        <v>5425</v>
      </c>
      <c r="AD16" s="32">
        <f t="shared" ca="1" si="1"/>
        <v>7044</v>
      </c>
      <c r="AE16" s="32">
        <f t="shared" ca="1" si="1"/>
        <v>9147</v>
      </c>
      <c r="AF16" s="32">
        <f t="shared" ca="1" si="1"/>
        <v>11877</v>
      </c>
      <c r="AG16" s="32">
        <f t="shared" ca="1" si="1"/>
        <v>5141</v>
      </c>
      <c r="AH16" s="32">
        <f t="shared" ca="1" si="1"/>
        <v>5647</v>
      </c>
      <c r="AI16" s="32">
        <f t="shared" ca="1" si="1"/>
        <v>6203</v>
      </c>
      <c r="AJ16" s="32">
        <f t="shared" ca="1" si="1"/>
        <v>6814</v>
      </c>
      <c r="AK16" s="32">
        <f t="shared" ca="1" si="1"/>
        <v>7485</v>
      </c>
      <c r="AL16" s="32">
        <f t="shared" ca="1" si="1"/>
        <v>8222</v>
      </c>
      <c r="AM16" s="32">
        <f t="shared" ca="1" si="1"/>
        <v>9032</v>
      </c>
      <c r="AN16" s="32">
        <f t="shared" ca="1" si="1"/>
        <v>9922</v>
      </c>
      <c r="AO16" s="32">
        <f t="shared" ca="1" si="1"/>
        <v>10899</v>
      </c>
      <c r="AP16" s="32">
        <f t="shared" ca="1" si="1"/>
        <v>11973</v>
      </c>
      <c r="AQ16" s="32">
        <f t="shared" ca="1" si="1"/>
        <v>13152</v>
      </c>
      <c r="AR16" s="32">
        <f t="shared" ca="1" si="1"/>
        <v>14447</v>
      </c>
      <c r="AS16" s="32">
        <f t="shared" ca="1" si="1"/>
        <v>15870</v>
      </c>
      <c r="AT16" s="32">
        <f t="shared" ca="1" si="1"/>
        <v>17441</v>
      </c>
      <c r="AU16" s="32">
        <f t="shared" ca="1" si="1"/>
        <v>19168</v>
      </c>
      <c r="AV16" s="32">
        <f t="shared" ca="1" si="1"/>
        <v>21066</v>
      </c>
      <c r="AW16" s="32">
        <f t="shared" ca="1" si="1"/>
        <v>23151</v>
      </c>
      <c r="AX16" s="32">
        <f t="shared" ca="1" si="1"/>
        <v>25443</v>
      </c>
      <c r="AY16" s="32">
        <f t="shared" ca="1" si="1"/>
        <v>27962</v>
      </c>
      <c r="AZ16" s="32">
        <f t="shared" ca="1" si="1"/>
        <v>30730</v>
      </c>
      <c r="BA16" s="32">
        <f t="shared" ca="1" si="1"/>
        <v>33772</v>
      </c>
      <c r="BB16" s="32">
        <f t="shared" ca="1" si="1"/>
        <v>37116</v>
      </c>
      <c r="BC16" s="32">
        <f t="shared" ca="1" si="1"/>
        <v>40790</v>
      </c>
      <c r="BD16" s="32">
        <f t="shared" ca="1" si="1"/>
        <v>44828</v>
      </c>
      <c r="BE16" s="32">
        <f t="shared" ca="1" si="1"/>
        <v>49266</v>
      </c>
      <c r="BF16" s="32">
        <f t="shared" ca="1" si="1"/>
        <v>54143</v>
      </c>
      <c r="BG16" s="32">
        <f t="shared" ca="1" si="1"/>
        <v>59504</v>
      </c>
      <c r="BH16" s="32">
        <f t="shared" ca="1" si="1"/>
        <v>65394</v>
      </c>
      <c r="BI16" s="32">
        <f t="shared" ca="1" si="1"/>
        <v>71868</v>
      </c>
      <c r="BJ16" s="32">
        <f t="shared" ca="1" si="1"/>
        <v>78983</v>
      </c>
      <c r="BK16" s="32">
        <f t="shared" ca="1" si="1"/>
        <v>86803</v>
      </c>
      <c r="BL16" s="32">
        <f t="shared" ca="1" si="1"/>
        <v>95396</v>
      </c>
      <c r="BM16" s="32">
        <f t="shared" ca="1" si="1"/>
        <v>104840</v>
      </c>
      <c r="BN16" s="32">
        <f t="shared" ca="1" si="1"/>
        <v>115219</v>
      </c>
      <c r="BO16" s="32">
        <f t="shared" ca="1" si="1"/>
        <v>126626</v>
      </c>
      <c r="BP16" s="32">
        <f t="shared" ca="1" si="1"/>
        <v>139162</v>
      </c>
    </row>
    <row r="17" spans="1:68" s="30" customFormat="1" ht="15" x14ac:dyDescent="0.25">
      <c r="E17" s="30" t="s">
        <v>74</v>
      </c>
      <c r="I17" s="32">
        <f ca="1">-ROUNDUP(I15*I12,0)</f>
        <v>-1</v>
      </c>
      <c r="J17" s="32">
        <f t="shared" ref="J17:BP17" ca="1" si="2">-ROUNDUP(J15*J12,0)</f>
        <v>-1</v>
      </c>
      <c r="K17" s="32">
        <f t="shared" ca="1" si="2"/>
        <v>-1</v>
      </c>
      <c r="L17" s="32">
        <f t="shared" ca="1" si="2"/>
        <v>-1</v>
      </c>
      <c r="M17" s="32">
        <f t="shared" ca="1" si="2"/>
        <v>-1</v>
      </c>
      <c r="N17" s="32">
        <f t="shared" ca="1" si="2"/>
        <v>-1</v>
      </c>
      <c r="O17" s="32">
        <f t="shared" ca="1" si="2"/>
        <v>-2</v>
      </c>
      <c r="P17" s="32">
        <f t="shared" ca="1" si="2"/>
        <v>-2</v>
      </c>
      <c r="Q17" s="32">
        <f t="shared" ca="1" si="2"/>
        <v>-2</v>
      </c>
      <c r="R17" s="32">
        <f t="shared" ca="1" si="2"/>
        <v>-3</v>
      </c>
      <c r="S17" s="32">
        <f t="shared" ca="1" si="2"/>
        <v>-4</v>
      </c>
      <c r="T17" s="32">
        <f t="shared" ca="1" si="2"/>
        <v>-5</v>
      </c>
      <c r="U17" s="32">
        <f t="shared" ca="1" si="2"/>
        <v>-4</v>
      </c>
      <c r="V17" s="32">
        <f t="shared" ca="1" si="2"/>
        <v>-5</v>
      </c>
      <c r="W17" s="32">
        <f t="shared" ca="1" si="2"/>
        <v>-6</v>
      </c>
      <c r="X17" s="32">
        <f t="shared" ca="1" si="2"/>
        <v>-8</v>
      </c>
      <c r="Y17" s="32">
        <f t="shared" ca="1" si="2"/>
        <v>-10</v>
      </c>
      <c r="Z17" s="32">
        <f t="shared" ca="1" si="2"/>
        <v>-13</v>
      </c>
      <c r="AA17" s="32">
        <f t="shared" ca="1" si="2"/>
        <v>-17</v>
      </c>
      <c r="AB17" s="32">
        <f t="shared" ca="1" si="2"/>
        <v>-21</v>
      </c>
      <c r="AC17" s="32">
        <f t="shared" ca="1" si="2"/>
        <v>-28</v>
      </c>
      <c r="AD17" s="32">
        <f t="shared" ca="1" si="2"/>
        <v>-36</v>
      </c>
      <c r="AE17" s="32">
        <f t="shared" ca="1" si="2"/>
        <v>-46</v>
      </c>
      <c r="AF17" s="32">
        <f t="shared" ca="1" si="2"/>
        <v>-60</v>
      </c>
      <c r="AG17" s="32">
        <f t="shared" ca="1" si="2"/>
        <v>-78</v>
      </c>
      <c r="AH17" s="32">
        <f t="shared" ca="1" si="2"/>
        <v>-85</v>
      </c>
      <c r="AI17" s="32">
        <f t="shared" ca="1" si="2"/>
        <v>-94</v>
      </c>
      <c r="AJ17" s="32">
        <f t="shared" ca="1" si="2"/>
        <v>-103</v>
      </c>
      <c r="AK17" s="32">
        <f t="shared" ca="1" si="2"/>
        <v>-113</v>
      </c>
      <c r="AL17" s="32">
        <f t="shared" ca="1" si="2"/>
        <v>-124</v>
      </c>
      <c r="AM17" s="32">
        <f t="shared" ca="1" si="2"/>
        <v>-136</v>
      </c>
      <c r="AN17" s="32">
        <f t="shared" ca="1" si="2"/>
        <v>-149</v>
      </c>
      <c r="AO17" s="32">
        <f t="shared" ca="1" si="2"/>
        <v>-164</v>
      </c>
      <c r="AP17" s="32">
        <f t="shared" ca="1" si="2"/>
        <v>-180</v>
      </c>
      <c r="AQ17" s="32">
        <f t="shared" ca="1" si="2"/>
        <v>-198</v>
      </c>
      <c r="AR17" s="32">
        <f t="shared" ca="1" si="2"/>
        <v>-217</v>
      </c>
      <c r="AS17" s="32">
        <f t="shared" ca="1" si="2"/>
        <v>-159</v>
      </c>
      <c r="AT17" s="32">
        <f t="shared" ca="1" si="2"/>
        <v>-175</v>
      </c>
      <c r="AU17" s="32">
        <f t="shared" ca="1" si="2"/>
        <v>-192</v>
      </c>
      <c r="AV17" s="32">
        <f t="shared" ca="1" si="2"/>
        <v>-211</v>
      </c>
      <c r="AW17" s="32">
        <f t="shared" ca="1" si="2"/>
        <v>-232</v>
      </c>
      <c r="AX17" s="32">
        <f t="shared" ca="1" si="2"/>
        <v>-255</v>
      </c>
      <c r="AY17" s="32">
        <f t="shared" ca="1" si="2"/>
        <v>-280</v>
      </c>
      <c r="AZ17" s="32">
        <f t="shared" ca="1" si="2"/>
        <v>-308</v>
      </c>
      <c r="BA17" s="32">
        <f t="shared" ca="1" si="2"/>
        <v>-338</v>
      </c>
      <c r="BB17" s="32">
        <f t="shared" ca="1" si="2"/>
        <v>-372</v>
      </c>
      <c r="BC17" s="32">
        <f t="shared" ca="1" si="2"/>
        <v>-408</v>
      </c>
      <c r="BD17" s="32">
        <f t="shared" ca="1" si="2"/>
        <v>-449</v>
      </c>
      <c r="BE17" s="32">
        <f t="shared" ca="1" si="2"/>
        <v>-493</v>
      </c>
      <c r="BF17" s="32">
        <f t="shared" ca="1" si="2"/>
        <v>-542</v>
      </c>
      <c r="BG17" s="32">
        <f t="shared" ca="1" si="2"/>
        <v>-596</v>
      </c>
      <c r="BH17" s="32">
        <f t="shared" ca="1" si="2"/>
        <v>-654</v>
      </c>
      <c r="BI17" s="32">
        <f t="shared" ca="1" si="2"/>
        <v>-719</v>
      </c>
      <c r="BJ17" s="32">
        <f t="shared" ca="1" si="2"/>
        <v>-790</v>
      </c>
      <c r="BK17" s="32">
        <f t="shared" ca="1" si="2"/>
        <v>-869</v>
      </c>
      <c r="BL17" s="32">
        <f t="shared" ca="1" si="2"/>
        <v>-954</v>
      </c>
      <c r="BM17" s="32">
        <f t="shared" ca="1" si="2"/>
        <v>-1049</v>
      </c>
      <c r="BN17" s="32">
        <f t="shared" ca="1" si="2"/>
        <v>-1153</v>
      </c>
      <c r="BO17" s="32">
        <f t="shared" ca="1" si="2"/>
        <v>-1267</v>
      </c>
      <c r="BP17" s="32">
        <f t="shared" ca="1" si="2"/>
        <v>-1392</v>
      </c>
    </row>
    <row r="18" spans="1:68" s="30" customFormat="1" ht="15" x14ac:dyDescent="0.25">
      <c r="D18" s="30" t="s">
        <v>75</v>
      </c>
      <c r="H18" s="35">
        <f>INDEX(tblCases[Starting Customers],MATCH(AssmBusinessCase,tblCases[Case],0))</f>
        <v>100</v>
      </c>
      <c r="I18" s="32">
        <f ca="1">SUM(I15:I17)</f>
        <v>129</v>
      </c>
      <c r="J18" s="32">
        <f t="shared" ref="J18:BP18" ca="1" si="3">SUM(J15:J17)</f>
        <v>167</v>
      </c>
      <c r="K18" s="32">
        <f t="shared" ca="1" si="3"/>
        <v>216</v>
      </c>
      <c r="L18" s="32">
        <f t="shared" ca="1" si="3"/>
        <v>280</v>
      </c>
      <c r="M18" s="32">
        <f t="shared" ca="1" si="3"/>
        <v>363</v>
      </c>
      <c r="N18" s="32">
        <f t="shared" ca="1" si="3"/>
        <v>471</v>
      </c>
      <c r="O18" s="32">
        <f t="shared" ca="1" si="3"/>
        <v>610</v>
      </c>
      <c r="P18" s="32">
        <f t="shared" ca="1" si="3"/>
        <v>791</v>
      </c>
      <c r="Q18" s="32">
        <f t="shared" ca="1" si="3"/>
        <v>1026</v>
      </c>
      <c r="R18" s="32">
        <f t="shared" ca="1" si="3"/>
        <v>1331</v>
      </c>
      <c r="S18" s="32">
        <f t="shared" ca="1" si="3"/>
        <v>1726</v>
      </c>
      <c r="T18" s="32">
        <f t="shared" ca="1" si="3"/>
        <v>2239</v>
      </c>
      <c r="U18" s="32">
        <f t="shared" ca="1" si="3"/>
        <v>2907</v>
      </c>
      <c r="V18" s="32">
        <f t="shared" ca="1" si="3"/>
        <v>3774</v>
      </c>
      <c r="W18" s="32">
        <f t="shared" ca="1" si="3"/>
        <v>4900</v>
      </c>
      <c r="X18" s="32">
        <f t="shared" ca="1" si="3"/>
        <v>6362</v>
      </c>
      <c r="Y18" s="32">
        <f t="shared" ca="1" si="3"/>
        <v>8261</v>
      </c>
      <c r="Z18" s="32">
        <f t="shared" ca="1" si="3"/>
        <v>10726</v>
      </c>
      <c r="AA18" s="32">
        <f t="shared" ca="1" si="3"/>
        <v>13927</v>
      </c>
      <c r="AB18" s="32">
        <f t="shared" ca="1" si="3"/>
        <v>18084</v>
      </c>
      <c r="AC18" s="32">
        <f t="shared" ca="1" si="3"/>
        <v>23481</v>
      </c>
      <c r="AD18" s="32">
        <f t="shared" ca="1" si="3"/>
        <v>30489</v>
      </c>
      <c r="AE18" s="32">
        <f t="shared" ca="1" si="3"/>
        <v>39590</v>
      </c>
      <c r="AF18" s="32">
        <f t="shared" ca="1" si="3"/>
        <v>51407</v>
      </c>
      <c r="AG18" s="32">
        <f t="shared" ca="1" si="3"/>
        <v>56470</v>
      </c>
      <c r="AH18" s="32">
        <f t="shared" ca="1" si="3"/>
        <v>62032</v>
      </c>
      <c r="AI18" s="32">
        <f t="shared" ca="1" si="3"/>
        <v>68141</v>
      </c>
      <c r="AJ18" s="32">
        <f t="shared" ca="1" si="3"/>
        <v>74852</v>
      </c>
      <c r="AK18" s="32">
        <f t="shared" ca="1" si="3"/>
        <v>82224</v>
      </c>
      <c r="AL18" s="32">
        <f t="shared" ca="1" si="3"/>
        <v>90322</v>
      </c>
      <c r="AM18" s="32">
        <f t="shared" ca="1" si="3"/>
        <v>99218</v>
      </c>
      <c r="AN18" s="32">
        <f t="shared" ca="1" si="3"/>
        <v>108991</v>
      </c>
      <c r="AO18" s="32">
        <f t="shared" ca="1" si="3"/>
        <v>119726</v>
      </c>
      <c r="AP18" s="32">
        <f t="shared" ca="1" si="3"/>
        <v>131519</v>
      </c>
      <c r="AQ18" s="32">
        <f t="shared" ca="1" si="3"/>
        <v>144473</v>
      </c>
      <c r="AR18" s="32">
        <f t="shared" ca="1" si="3"/>
        <v>158703</v>
      </c>
      <c r="AS18" s="32">
        <f t="shared" ca="1" si="3"/>
        <v>174414</v>
      </c>
      <c r="AT18" s="32">
        <f t="shared" ca="1" si="3"/>
        <v>191680</v>
      </c>
      <c r="AU18" s="32">
        <f t="shared" ca="1" si="3"/>
        <v>210656</v>
      </c>
      <c r="AV18" s="32">
        <f t="shared" ca="1" si="3"/>
        <v>231511</v>
      </c>
      <c r="AW18" s="32">
        <f t="shared" ca="1" si="3"/>
        <v>254430</v>
      </c>
      <c r="AX18" s="32">
        <f t="shared" ca="1" si="3"/>
        <v>279618</v>
      </c>
      <c r="AY18" s="32">
        <f t="shared" ca="1" si="3"/>
        <v>307300</v>
      </c>
      <c r="AZ18" s="32">
        <f t="shared" ca="1" si="3"/>
        <v>337722</v>
      </c>
      <c r="BA18" s="32">
        <f t="shared" ca="1" si="3"/>
        <v>371156</v>
      </c>
      <c r="BB18" s="32">
        <f t="shared" ca="1" si="3"/>
        <v>407900</v>
      </c>
      <c r="BC18" s="32">
        <f t="shared" ca="1" si="3"/>
        <v>448282</v>
      </c>
      <c r="BD18" s="32">
        <f t="shared" ca="1" si="3"/>
        <v>492661</v>
      </c>
      <c r="BE18" s="32">
        <f t="shared" ca="1" si="3"/>
        <v>541434</v>
      </c>
      <c r="BF18" s="32">
        <f t="shared" ca="1" si="3"/>
        <v>595035</v>
      </c>
      <c r="BG18" s="32">
        <f t="shared" ca="1" si="3"/>
        <v>653943</v>
      </c>
      <c r="BH18" s="32">
        <f t="shared" ca="1" si="3"/>
        <v>718683</v>
      </c>
      <c r="BI18" s="32">
        <f t="shared" ca="1" si="3"/>
        <v>789832</v>
      </c>
      <c r="BJ18" s="32">
        <f t="shared" ca="1" si="3"/>
        <v>868025</v>
      </c>
      <c r="BK18" s="32">
        <f t="shared" ca="1" si="3"/>
        <v>953959</v>
      </c>
      <c r="BL18" s="32">
        <f t="shared" ca="1" si="3"/>
        <v>1048401</v>
      </c>
      <c r="BM18" s="32">
        <f t="shared" ca="1" si="3"/>
        <v>1152192</v>
      </c>
      <c r="BN18" s="32">
        <f t="shared" ca="1" si="3"/>
        <v>1266258</v>
      </c>
      <c r="BO18" s="32">
        <f t="shared" ca="1" si="3"/>
        <v>1391617</v>
      </c>
      <c r="BP18" s="32">
        <f t="shared" ca="1" si="3"/>
        <v>1529387</v>
      </c>
    </row>
    <row r="19" spans="1:68" s="30" customFormat="1" ht="15" x14ac:dyDescent="0.25"/>
    <row r="20" spans="1:68" s="30" customFormat="1" ht="15" x14ac:dyDescent="0.25">
      <c r="A20" s="31"/>
      <c r="B20" s="31"/>
      <c r="C20" s="31" t="s">
        <v>76</v>
      </c>
      <c r="H20" s="27" t="s">
        <v>77</v>
      </c>
      <c r="I20" s="36">
        <f>SUMIFS(INDEX(tblAnnualAssm[],,MATCH(TEXT(Calculations!I$8,"0"),tblAnnualAssm[#Headers],0)),tblAnnualAssm[Case],AssmBusinessCase,tblAnnualAssm[Input Type],$H20)</f>
        <v>20</v>
      </c>
      <c r="J20" s="36">
        <f>SUMIFS(INDEX(tblAnnualAssm[],,MATCH(TEXT(Calculations!J$8,"0"),tblAnnualAssm[#Headers],0)),tblAnnualAssm[Case],AssmBusinessCase,tblAnnualAssm[Input Type],$H20)</f>
        <v>20</v>
      </c>
      <c r="K20" s="36">
        <f>SUMIFS(INDEX(tblAnnualAssm[],,MATCH(TEXT(Calculations!K$8,"0"),tblAnnualAssm[#Headers],0)),tblAnnualAssm[Case],AssmBusinessCase,tblAnnualAssm[Input Type],$H20)</f>
        <v>20</v>
      </c>
      <c r="L20" s="36">
        <f>SUMIFS(INDEX(tblAnnualAssm[],,MATCH(TEXT(Calculations!L$8,"0"),tblAnnualAssm[#Headers],0)),tblAnnualAssm[Case],AssmBusinessCase,tblAnnualAssm[Input Type],$H20)</f>
        <v>20</v>
      </c>
      <c r="M20" s="36">
        <f>SUMIFS(INDEX(tblAnnualAssm[],,MATCH(TEXT(Calculations!M$8,"0"),tblAnnualAssm[#Headers],0)),tblAnnualAssm[Case],AssmBusinessCase,tblAnnualAssm[Input Type],$H20)</f>
        <v>20</v>
      </c>
      <c r="N20" s="36">
        <f>SUMIFS(INDEX(tblAnnualAssm[],,MATCH(TEXT(Calculations!N$8,"0"),tblAnnualAssm[#Headers],0)),tblAnnualAssm[Case],AssmBusinessCase,tblAnnualAssm[Input Type],$H20)</f>
        <v>20</v>
      </c>
      <c r="O20" s="36">
        <f>SUMIFS(INDEX(tblAnnualAssm[],,MATCH(TEXT(Calculations!O$8,"0"),tblAnnualAssm[#Headers],0)),tblAnnualAssm[Case],AssmBusinessCase,tblAnnualAssm[Input Type],$H20)</f>
        <v>20</v>
      </c>
      <c r="P20" s="36">
        <f>SUMIFS(INDEX(tblAnnualAssm[],,MATCH(TEXT(Calculations!P$8,"0"),tblAnnualAssm[#Headers],0)),tblAnnualAssm[Case],AssmBusinessCase,tblAnnualAssm[Input Type],$H20)</f>
        <v>20</v>
      </c>
      <c r="Q20" s="36">
        <f>SUMIFS(INDEX(tblAnnualAssm[],,MATCH(TEXT(Calculations!Q$8,"0"),tblAnnualAssm[#Headers],0)),tblAnnualAssm[Case],AssmBusinessCase,tblAnnualAssm[Input Type],$H20)</f>
        <v>20</v>
      </c>
      <c r="R20" s="36">
        <f>SUMIFS(INDEX(tblAnnualAssm[],,MATCH(TEXT(Calculations!R$8,"0"),tblAnnualAssm[#Headers],0)),tblAnnualAssm[Case],AssmBusinessCase,tblAnnualAssm[Input Type],$H20)</f>
        <v>20</v>
      </c>
      <c r="S20" s="36">
        <f>SUMIFS(INDEX(tblAnnualAssm[],,MATCH(TEXT(Calculations!S$8,"0"),tblAnnualAssm[#Headers],0)),tblAnnualAssm[Case],AssmBusinessCase,tblAnnualAssm[Input Type],$H20)</f>
        <v>20</v>
      </c>
      <c r="T20" s="36">
        <f>SUMIFS(INDEX(tblAnnualAssm[],,MATCH(TEXT(Calculations!T$8,"0"),tblAnnualAssm[#Headers],0)),tblAnnualAssm[Case],AssmBusinessCase,tblAnnualAssm[Input Type],$H20)</f>
        <v>20</v>
      </c>
      <c r="U20" s="36">
        <f>SUMIFS(INDEX(tblAnnualAssm[],,MATCH(TEXT(Calculations!U$8,"0"),tblAnnualAssm[#Headers],0)),tblAnnualAssm[Case],AssmBusinessCase,tblAnnualAssm[Input Type],$H20)</f>
        <v>20</v>
      </c>
      <c r="V20" s="36">
        <f>SUMIFS(INDEX(tblAnnualAssm[],,MATCH(TEXT(Calculations!V$8,"0"),tblAnnualAssm[#Headers],0)),tblAnnualAssm[Case],AssmBusinessCase,tblAnnualAssm[Input Type],$H20)</f>
        <v>20</v>
      </c>
      <c r="W20" s="36">
        <f>SUMIFS(INDEX(tblAnnualAssm[],,MATCH(TEXT(Calculations!W$8,"0"),tblAnnualAssm[#Headers],0)),tblAnnualAssm[Case],AssmBusinessCase,tblAnnualAssm[Input Type],$H20)</f>
        <v>20</v>
      </c>
      <c r="X20" s="36">
        <f>SUMIFS(INDEX(tblAnnualAssm[],,MATCH(TEXT(Calculations!X$8,"0"),tblAnnualAssm[#Headers],0)),tblAnnualAssm[Case],AssmBusinessCase,tblAnnualAssm[Input Type],$H20)</f>
        <v>20</v>
      </c>
      <c r="Y20" s="36">
        <f>SUMIFS(INDEX(tblAnnualAssm[],,MATCH(TEXT(Calculations!Y$8,"0"),tblAnnualAssm[#Headers],0)),tblAnnualAssm[Case],AssmBusinessCase,tblAnnualAssm[Input Type],$H20)</f>
        <v>20</v>
      </c>
      <c r="Z20" s="36">
        <f>SUMIFS(INDEX(tblAnnualAssm[],,MATCH(TEXT(Calculations!Z$8,"0"),tblAnnualAssm[#Headers],0)),tblAnnualAssm[Case],AssmBusinessCase,tblAnnualAssm[Input Type],$H20)</f>
        <v>20</v>
      </c>
      <c r="AA20" s="36">
        <f>SUMIFS(INDEX(tblAnnualAssm[],,MATCH(TEXT(Calculations!AA$8,"0"),tblAnnualAssm[#Headers],0)),tblAnnualAssm[Case],AssmBusinessCase,tblAnnualAssm[Input Type],$H20)</f>
        <v>20</v>
      </c>
      <c r="AB20" s="36">
        <f>SUMIFS(INDEX(tblAnnualAssm[],,MATCH(TEXT(Calculations!AB$8,"0"),tblAnnualAssm[#Headers],0)),tblAnnualAssm[Case],AssmBusinessCase,tblAnnualAssm[Input Type],$H20)</f>
        <v>20</v>
      </c>
      <c r="AC20" s="36">
        <f>SUMIFS(INDEX(tblAnnualAssm[],,MATCH(TEXT(Calculations!AC$8,"0"),tblAnnualAssm[#Headers],0)),tblAnnualAssm[Case],AssmBusinessCase,tblAnnualAssm[Input Type],$H20)</f>
        <v>20</v>
      </c>
      <c r="AD20" s="36">
        <f>SUMIFS(INDEX(tblAnnualAssm[],,MATCH(TEXT(Calculations!AD$8,"0"),tblAnnualAssm[#Headers],0)),tblAnnualAssm[Case],AssmBusinessCase,tblAnnualAssm[Input Type],$H20)</f>
        <v>20</v>
      </c>
      <c r="AE20" s="36">
        <f>SUMIFS(INDEX(tblAnnualAssm[],,MATCH(TEXT(Calculations!AE$8,"0"),tblAnnualAssm[#Headers],0)),tblAnnualAssm[Case],AssmBusinessCase,tblAnnualAssm[Input Type],$H20)</f>
        <v>20</v>
      </c>
      <c r="AF20" s="36">
        <f>SUMIFS(INDEX(tblAnnualAssm[],,MATCH(TEXT(Calculations!AF$8,"0"),tblAnnualAssm[#Headers],0)),tblAnnualAssm[Case],AssmBusinessCase,tblAnnualAssm[Input Type],$H20)</f>
        <v>20</v>
      </c>
      <c r="AG20" s="36">
        <f>SUMIFS(INDEX(tblAnnualAssm[],,MATCH(TEXT(Calculations!AG$8,"0"),tblAnnualAssm[#Headers],0)),tblAnnualAssm[Case],AssmBusinessCase,tblAnnualAssm[Input Type],$H20)</f>
        <v>25</v>
      </c>
      <c r="AH20" s="36">
        <f>SUMIFS(INDEX(tblAnnualAssm[],,MATCH(TEXT(Calculations!AH$8,"0"),tblAnnualAssm[#Headers],0)),tblAnnualAssm[Case],AssmBusinessCase,tblAnnualAssm[Input Type],$H20)</f>
        <v>25</v>
      </c>
      <c r="AI20" s="36">
        <f>SUMIFS(INDEX(tblAnnualAssm[],,MATCH(TEXT(Calculations!AI$8,"0"),tblAnnualAssm[#Headers],0)),tblAnnualAssm[Case],AssmBusinessCase,tblAnnualAssm[Input Type],$H20)</f>
        <v>25</v>
      </c>
      <c r="AJ20" s="36">
        <f>SUMIFS(INDEX(tblAnnualAssm[],,MATCH(TEXT(Calculations!AJ$8,"0"),tblAnnualAssm[#Headers],0)),tblAnnualAssm[Case],AssmBusinessCase,tblAnnualAssm[Input Type],$H20)</f>
        <v>25</v>
      </c>
      <c r="AK20" s="36">
        <f>SUMIFS(INDEX(tblAnnualAssm[],,MATCH(TEXT(Calculations!AK$8,"0"),tblAnnualAssm[#Headers],0)),tblAnnualAssm[Case],AssmBusinessCase,tblAnnualAssm[Input Type],$H20)</f>
        <v>25</v>
      </c>
      <c r="AL20" s="36">
        <f>SUMIFS(INDEX(tblAnnualAssm[],,MATCH(TEXT(Calculations!AL$8,"0"),tblAnnualAssm[#Headers],0)),tblAnnualAssm[Case],AssmBusinessCase,tblAnnualAssm[Input Type],$H20)</f>
        <v>25</v>
      </c>
      <c r="AM20" s="36">
        <f>SUMIFS(INDEX(tblAnnualAssm[],,MATCH(TEXT(Calculations!AM$8,"0"),tblAnnualAssm[#Headers],0)),tblAnnualAssm[Case],AssmBusinessCase,tblAnnualAssm[Input Type],$H20)</f>
        <v>25</v>
      </c>
      <c r="AN20" s="36">
        <f>SUMIFS(INDEX(tblAnnualAssm[],,MATCH(TEXT(Calculations!AN$8,"0"),tblAnnualAssm[#Headers],0)),tblAnnualAssm[Case],AssmBusinessCase,tblAnnualAssm[Input Type],$H20)</f>
        <v>25</v>
      </c>
      <c r="AO20" s="36">
        <f>SUMIFS(INDEX(tblAnnualAssm[],,MATCH(TEXT(Calculations!AO$8,"0"),tblAnnualAssm[#Headers],0)),tblAnnualAssm[Case],AssmBusinessCase,tblAnnualAssm[Input Type],$H20)</f>
        <v>25</v>
      </c>
      <c r="AP20" s="36">
        <f>SUMIFS(INDEX(tblAnnualAssm[],,MATCH(TEXT(Calculations!AP$8,"0"),tblAnnualAssm[#Headers],0)),tblAnnualAssm[Case],AssmBusinessCase,tblAnnualAssm[Input Type],$H20)</f>
        <v>25</v>
      </c>
      <c r="AQ20" s="36">
        <f>SUMIFS(INDEX(tblAnnualAssm[],,MATCH(TEXT(Calculations!AQ$8,"0"),tblAnnualAssm[#Headers],0)),tblAnnualAssm[Case],AssmBusinessCase,tblAnnualAssm[Input Type],$H20)</f>
        <v>25</v>
      </c>
      <c r="AR20" s="36">
        <f>SUMIFS(INDEX(tblAnnualAssm[],,MATCH(TEXT(Calculations!AR$8,"0"),tblAnnualAssm[#Headers],0)),tblAnnualAssm[Case],AssmBusinessCase,tblAnnualAssm[Input Type],$H20)</f>
        <v>25</v>
      </c>
      <c r="AS20" s="36">
        <f>SUMIFS(INDEX(tblAnnualAssm[],,MATCH(TEXT(Calculations!AS$8,"0"),tblAnnualAssm[#Headers],0)),tblAnnualAssm[Case],AssmBusinessCase,tblAnnualAssm[Input Type],$H20)</f>
        <v>25</v>
      </c>
      <c r="AT20" s="36">
        <f>SUMIFS(INDEX(tblAnnualAssm[],,MATCH(TEXT(Calculations!AT$8,"0"),tblAnnualAssm[#Headers],0)),tblAnnualAssm[Case],AssmBusinessCase,tblAnnualAssm[Input Type],$H20)</f>
        <v>25</v>
      </c>
      <c r="AU20" s="36">
        <f>SUMIFS(INDEX(tblAnnualAssm[],,MATCH(TEXT(Calculations!AU$8,"0"),tblAnnualAssm[#Headers],0)),tblAnnualAssm[Case],AssmBusinessCase,tblAnnualAssm[Input Type],$H20)</f>
        <v>25</v>
      </c>
      <c r="AV20" s="36">
        <f>SUMIFS(INDEX(tblAnnualAssm[],,MATCH(TEXT(Calculations!AV$8,"0"),tblAnnualAssm[#Headers],0)),tblAnnualAssm[Case],AssmBusinessCase,tblAnnualAssm[Input Type],$H20)</f>
        <v>25</v>
      </c>
      <c r="AW20" s="36">
        <f>SUMIFS(INDEX(tblAnnualAssm[],,MATCH(TEXT(Calculations!AW$8,"0"),tblAnnualAssm[#Headers],0)),tblAnnualAssm[Case],AssmBusinessCase,tblAnnualAssm[Input Type],$H20)</f>
        <v>25</v>
      </c>
      <c r="AX20" s="36">
        <f>SUMIFS(INDEX(tblAnnualAssm[],,MATCH(TEXT(Calculations!AX$8,"0"),tblAnnualAssm[#Headers],0)),tblAnnualAssm[Case],AssmBusinessCase,tblAnnualAssm[Input Type],$H20)</f>
        <v>25</v>
      </c>
      <c r="AY20" s="36">
        <f>SUMIFS(INDEX(tblAnnualAssm[],,MATCH(TEXT(Calculations!AY$8,"0"),tblAnnualAssm[#Headers],0)),tblAnnualAssm[Case],AssmBusinessCase,tblAnnualAssm[Input Type],$H20)</f>
        <v>25</v>
      </c>
      <c r="AZ20" s="36">
        <f>SUMIFS(INDEX(tblAnnualAssm[],,MATCH(TEXT(Calculations!AZ$8,"0"),tblAnnualAssm[#Headers],0)),tblAnnualAssm[Case],AssmBusinessCase,tblAnnualAssm[Input Type],$H20)</f>
        <v>25</v>
      </c>
      <c r="BA20" s="36">
        <f>SUMIFS(INDEX(tblAnnualAssm[],,MATCH(TEXT(Calculations!BA$8,"0"),tblAnnualAssm[#Headers],0)),tblAnnualAssm[Case],AssmBusinessCase,tblAnnualAssm[Input Type],$H20)</f>
        <v>25</v>
      </c>
      <c r="BB20" s="36">
        <f>SUMIFS(INDEX(tblAnnualAssm[],,MATCH(TEXT(Calculations!BB$8,"0"),tblAnnualAssm[#Headers],0)),tblAnnualAssm[Case],AssmBusinessCase,tblAnnualAssm[Input Type],$H20)</f>
        <v>25</v>
      </c>
      <c r="BC20" s="36">
        <f>SUMIFS(INDEX(tblAnnualAssm[],,MATCH(TEXT(Calculations!BC$8,"0"),tblAnnualAssm[#Headers],0)),tblAnnualAssm[Case],AssmBusinessCase,tblAnnualAssm[Input Type],$H20)</f>
        <v>25</v>
      </c>
      <c r="BD20" s="36">
        <f>SUMIFS(INDEX(tblAnnualAssm[],,MATCH(TEXT(Calculations!BD$8,"0"),tblAnnualAssm[#Headers],0)),tblAnnualAssm[Case],AssmBusinessCase,tblAnnualAssm[Input Type],$H20)</f>
        <v>25</v>
      </c>
      <c r="BE20" s="36">
        <f>SUMIFS(INDEX(tblAnnualAssm[],,MATCH(TEXT(Calculations!BE$8,"0"),tblAnnualAssm[#Headers],0)),tblAnnualAssm[Case],AssmBusinessCase,tblAnnualAssm[Input Type],$H20)</f>
        <v>30</v>
      </c>
      <c r="BF20" s="36">
        <f>SUMIFS(INDEX(tblAnnualAssm[],,MATCH(TEXT(Calculations!BF$8,"0"),tblAnnualAssm[#Headers],0)),tblAnnualAssm[Case],AssmBusinessCase,tblAnnualAssm[Input Type],$H20)</f>
        <v>30</v>
      </c>
      <c r="BG20" s="36">
        <f>SUMIFS(INDEX(tblAnnualAssm[],,MATCH(TEXT(Calculations!BG$8,"0"),tblAnnualAssm[#Headers],0)),tblAnnualAssm[Case],AssmBusinessCase,tblAnnualAssm[Input Type],$H20)</f>
        <v>30</v>
      </c>
      <c r="BH20" s="36">
        <f>SUMIFS(INDEX(tblAnnualAssm[],,MATCH(TEXT(Calculations!BH$8,"0"),tblAnnualAssm[#Headers],0)),tblAnnualAssm[Case],AssmBusinessCase,tblAnnualAssm[Input Type],$H20)</f>
        <v>30</v>
      </c>
      <c r="BI20" s="36">
        <f>SUMIFS(INDEX(tblAnnualAssm[],,MATCH(TEXT(Calculations!BI$8,"0"),tblAnnualAssm[#Headers],0)),tblAnnualAssm[Case],AssmBusinessCase,tblAnnualAssm[Input Type],$H20)</f>
        <v>30</v>
      </c>
      <c r="BJ20" s="36">
        <f>SUMIFS(INDEX(tblAnnualAssm[],,MATCH(TEXT(Calculations!BJ$8,"0"),tblAnnualAssm[#Headers],0)),tblAnnualAssm[Case],AssmBusinessCase,tblAnnualAssm[Input Type],$H20)</f>
        <v>30</v>
      </c>
      <c r="BK20" s="36">
        <f>SUMIFS(INDEX(tblAnnualAssm[],,MATCH(TEXT(Calculations!BK$8,"0"),tblAnnualAssm[#Headers],0)),tblAnnualAssm[Case],AssmBusinessCase,tblAnnualAssm[Input Type],$H20)</f>
        <v>30</v>
      </c>
      <c r="BL20" s="36">
        <f>SUMIFS(INDEX(tblAnnualAssm[],,MATCH(TEXT(Calculations!BL$8,"0"),tblAnnualAssm[#Headers],0)),tblAnnualAssm[Case],AssmBusinessCase,tblAnnualAssm[Input Type],$H20)</f>
        <v>30</v>
      </c>
      <c r="BM20" s="36">
        <f>SUMIFS(INDEX(tblAnnualAssm[],,MATCH(TEXT(Calculations!BM$8,"0"),tblAnnualAssm[#Headers],0)),tblAnnualAssm[Case],AssmBusinessCase,tblAnnualAssm[Input Type],$H20)</f>
        <v>30</v>
      </c>
      <c r="BN20" s="36">
        <f>SUMIFS(INDEX(tblAnnualAssm[],,MATCH(TEXT(Calculations!BN$8,"0"),tblAnnualAssm[#Headers],0)),tblAnnualAssm[Case],AssmBusinessCase,tblAnnualAssm[Input Type],$H20)</f>
        <v>30</v>
      </c>
      <c r="BO20" s="36">
        <f>SUMIFS(INDEX(tblAnnualAssm[],,MATCH(TEXT(Calculations!BO$8,"0"),tblAnnualAssm[#Headers],0)),tblAnnualAssm[Case],AssmBusinessCase,tblAnnualAssm[Input Type],$H20)</f>
        <v>30</v>
      </c>
      <c r="BP20" s="36">
        <f>SUMIFS(INDEX(tblAnnualAssm[],,MATCH(TEXT(Calculations!BP$8,"0"),tblAnnualAssm[#Headers],0)),tblAnnualAssm[Case],AssmBusinessCase,tblAnnualAssm[Input Type],$H20)</f>
        <v>30</v>
      </c>
    </row>
    <row r="21" spans="1:68" s="30" customFormat="1" ht="15" x14ac:dyDescent="0.25"/>
    <row r="22" spans="1:68" s="31" customFormat="1" ht="15" x14ac:dyDescent="0.25">
      <c r="C22" s="31" t="s">
        <v>38</v>
      </c>
      <c r="H22" s="52">
        <f ca="1">SUM(I22:BP22)</f>
        <v>472328145</v>
      </c>
      <c r="I22" s="52">
        <f ca="1">I20*I18</f>
        <v>2580</v>
      </c>
      <c r="J22" s="52">
        <f t="shared" ref="J22:BP22" ca="1" si="4">J20*J18</f>
        <v>3340</v>
      </c>
      <c r="K22" s="52">
        <f t="shared" ca="1" si="4"/>
        <v>4320</v>
      </c>
      <c r="L22" s="52">
        <f t="shared" ca="1" si="4"/>
        <v>5600</v>
      </c>
      <c r="M22" s="52">
        <f t="shared" ca="1" si="4"/>
        <v>7260</v>
      </c>
      <c r="N22" s="52">
        <f t="shared" ca="1" si="4"/>
        <v>9420</v>
      </c>
      <c r="O22" s="52">
        <f t="shared" ca="1" si="4"/>
        <v>12200</v>
      </c>
      <c r="P22" s="52">
        <f t="shared" ca="1" si="4"/>
        <v>15820</v>
      </c>
      <c r="Q22" s="52">
        <f t="shared" ca="1" si="4"/>
        <v>20520</v>
      </c>
      <c r="R22" s="52">
        <f t="shared" ca="1" si="4"/>
        <v>26620</v>
      </c>
      <c r="S22" s="52">
        <f t="shared" ca="1" si="4"/>
        <v>34520</v>
      </c>
      <c r="T22" s="52">
        <f t="shared" ca="1" si="4"/>
        <v>44780</v>
      </c>
      <c r="U22" s="52">
        <f t="shared" ca="1" si="4"/>
        <v>58140</v>
      </c>
      <c r="V22" s="52">
        <f t="shared" ca="1" si="4"/>
        <v>75480</v>
      </c>
      <c r="W22" s="52">
        <f t="shared" ca="1" si="4"/>
        <v>98000</v>
      </c>
      <c r="X22" s="52">
        <f t="shared" ca="1" si="4"/>
        <v>127240</v>
      </c>
      <c r="Y22" s="52">
        <f t="shared" ca="1" si="4"/>
        <v>165220</v>
      </c>
      <c r="Z22" s="52">
        <f t="shared" ca="1" si="4"/>
        <v>214520</v>
      </c>
      <c r="AA22" s="52">
        <f t="shared" ca="1" si="4"/>
        <v>278540</v>
      </c>
      <c r="AB22" s="52">
        <f t="shared" ca="1" si="4"/>
        <v>361680</v>
      </c>
      <c r="AC22" s="52">
        <f t="shared" ca="1" si="4"/>
        <v>469620</v>
      </c>
      <c r="AD22" s="52">
        <f t="shared" ca="1" si="4"/>
        <v>609780</v>
      </c>
      <c r="AE22" s="52">
        <f t="shared" ca="1" si="4"/>
        <v>791800</v>
      </c>
      <c r="AF22" s="52">
        <f t="shared" ca="1" si="4"/>
        <v>1028140</v>
      </c>
      <c r="AG22" s="52">
        <f t="shared" ca="1" si="4"/>
        <v>1411750</v>
      </c>
      <c r="AH22" s="52">
        <f t="shared" ca="1" si="4"/>
        <v>1550800</v>
      </c>
      <c r="AI22" s="52">
        <f t="shared" ca="1" si="4"/>
        <v>1703525</v>
      </c>
      <c r="AJ22" s="52">
        <f t="shared" ca="1" si="4"/>
        <v>1871300</v>
      </c>
      <c r="AK22" s="52">
        <f t="shared" ca="1" si="4"/>
        <v>2055600</v>
      </c>
      <c r="AL22" s="52">
        <f t="shared" ca="1" si="4"/>
        <v>2258050</v>
      </c>
      <c r="AM22" s="52">
        <f t="shared" ca="1" si="4"/>
        <v>2480450</v>
      </c>
      <c r="AN22" s="52">
        <f t="shared" ca="1" si="4"/>
        <v>2724775</v>
      </c>
      <c r="AO22" s="52">
        <f t="shared" ca="1" si="4"/>
        <v>2993150</v>
      </c>
      <c r="AP22" s="52">
        <f t="shared" ca="1" si="4"/>
        <v>3287975</v>
      </c>
      <c r="AQ22" s="52">
        <f t="shared" ca="1" si="4"/>
        <v>3611825</v>
      </c>
      <c r="AR22" s="52">
        <f t="shared" ca="1" si="4"/>
        <v>3967575</v>
      </c>
      <c r="AS22" s="52">
        <f t="shared" ca="1" si="4"/>
        <v>4360350</v>
      </c>
      <c r="AT22" s="52">
        <f t="shared" ca="1" si="4"/>
        <v>4792000</v>
      </c>
      <c r="AU22" s="52">
        <f t="shared" ca="1" si="4"/>
        <v>5266400</v>
      </c>
      <c r="AV22" s="52">
        <f t="shared" ca="1" si="4"/>
        <v>5787775</v>
      </c>
      <c r="AW22" s="52">
        <f t="shared" ca="1" si="4"/>
        <v>6360750</v>
      </c>
      <c r="AX22" s="52">
        <f t="shared" ca="1" si="4"/>
        <v>6990450</v>
      </c>
      <c r="AY22" s="52">
        <f t="shared" ca="1" si="4"/>
        <v>7682500</v>
      </c>
      <c r="AZ22" s="52">
        <f t="shared" ca="1" si="4"/>
        <v>8443050</v>
      </c>
      <c r="BA22" s="52">
        <f t="shared" ca="1" si="4"/>
        <v>9278900</v>
      </c>
      <c r="BB22" s="52">
        <f t="shared" ca="1" si="4"/>
        <v>10197500</v>
      </c>
      <c r="BC22" s="52">
        <f t="shared" ca="1" si="4"/>
        <v>11207050</v>
      </c>
      <c r="BD22" s="52">
        <f t="shared" ca="1" si="4"/>
        <v>12316525</v>
      </c>
      <c r="BE22" s="52">
        <f t="shared" ca="1" si="4"/>
        <v>16243020</v>
      </c>
      <c r="BF22" s="52">
        <f t="shared" ca="1" si="4"/>
        <v>17851050</v>
      </c>
      <c r="BG22" s="52">
        <f t="shared" ca="1" si="4"/>
        <v>19618290</v>
      </c>
      <c r="BH22" s="52">
        <f t="shared" ca="1" si="4"/>
        <v>21560490</v>
      </c>
      <c r="BI22" s="52">
        <f t="shared" ca="1" si="4"/>
        <v>23694960</v>
      </c>
      <c r="BJ22" s="52">
        <f t="shared" ca="1" si="4"/>
        <v>26040750</v>
      </c>
      <c r="BK22" s="52">
        <f t="shared" ca="1" si="4"/>
        <v>28618770</v>
      </c>
      <c r="BL22" s="52">
        <f t="shared" ca="1" si="4"/>
        <v>31452030</v>
      </c>
      <c r="BM22" s="52">
        <f t="shared" ca="1" si="4"/>
        <v>34565760</v>
      </c>
      <c r="BN22" s="52">
        <f t="shared" ca="1" si="4"/>
        <v>37987740</v>
      </c>
      <c r="BO22" s="52">
        <f t="shared" ca="1" si="4"/>
        <v>41748510</v>
      </c>
      <c r="BP22" s="52">
        <f t="shared" ca="1" si="4"/>
        <v>45881610</v>
      </c>
    </row>
    <row r="23" spans="1:68" s="30" customFormat="1" ht="15" x14ac:dyDescent="0.25"/>
    <row r="24" spans="1:68" s="40" customFormat="1" ht="15.75" thickBot="1" x14ac:dyDescent="0.3">
      <c r="A24" s="68"/>
      <c r="B24" s="68"/>
      <c r="C24" s="68" t="s">
        <v>78</v>
      </c>
      <c r="D24" s="68"/>
      <c r="E24" s="68"/>
      <c r="F24" s="68"/>
      <c r="G24" s="68"/>
      <c r="H24" s="68"/>
      <c r="I24" s="68"/>
      <c r="J24" s="68"/>
      <c r="K24" s="68"/>
      <c r="L24" s="68"/>
      <c r="M24" s="68"/>
      <c r="N24" s="68"/>
      <c r="O24" s="68"/>
      <c r="P24" s="68"/>
      <c r="Q24" s="68"/>
      <c r="R24" s="68"/>
      <c r="S24" s="68"/>
      <c r="T24" s="68"/>
      <c r="U24" s="68"/>
      <c r="V24" s="68"/>
      <c r="W24" s="68"/>
      <c r="X24" s="68"/>
      <c r="Y24" s="68"/>
      <c r="Z24" s="68"/>
      <c r="AA24" s="68"/>
      <c r="AB24" s="68"/>
      <c r="AC24" s="68"/>
      <c r="AD24" s="68"/>
      <c r="AE24" s="68"/>
      <c r="AF24" s="68"/>
      <c r="AG24" s="68"/>
      <c r="AH24" s="68"/>
      <c r="AI24" s="68"/>
      <c r="AJ24" s="68"/>
      <c r="AK24" s="68"/>
      <c r="AL24" s="68"/>
      <c r="AM24" s="68"/>
      <c r="AN24" s="68"/>
      <c r="AO24" s="68"/>
      <c r="AP24" s="68"/>
      <c r="AQ24" s="68"/>
      <c r="AR24" s="68"/>
      <c r="AS24" s="68"/>
      <c r="AT24" s="68"/>
      <c r="AU24" s="68"/>
      <c r="AV24" s="68"/>
      <c r="AW24" s="68"/>
      <c r="AX24" s="68"/>
      <c r="AY24" s="68"/>
      <c r="AZ24" s="68"/>
      <c r="BA24" s="68"/>
      <c r="BB24" s="68"/>
      <c r="BC24" s="68"/>
      <c r="BD24" s="68"/>
      <c r="BE24" s="68"/>
      <c r="BF24" s="68"/>
      <c r="BG24" s="68"/>
      <c r="BH24" s="68"/>
      <c r="BI24" s="68"/>
      <c r="BJ24" s="68"/>
      <c r="BK24" s="68"/>
      <c r="BL24" s="68"/>
      <c r="BM24" s="68"/>
      <c r="BN24" s="68"/>
      <c r="BO24" s="68"/>
      <c r="BP24" s="68"/>
    </row>
    <row r="25" spans="1:68" s="30" customFormat="1" ht="15" x14ac:dyDescent="0.25">
      <c r="D25" s="31" t="s">
        <v>79</v>
      </c>
    </row>
    <row r="26" spans="1:68" s="30" customFormat="1" ht="15" x14ac:dyDescent="0.25">
      <c r="D26" s="31"/>
      <c r="E26" s="31" t="s">
        <v>80</v>
      </c>
      <c r="H26" s="60" t="s">
        <v>81</v>
      </c>
    </row>
    <row r="27" spans="1:68" s="30" customFormat="1" ht="15" x14ac:dyDescent="0.25">
      <c r="F27" s="30" t="s">
        <v>82</v>
      </c>
      <c r="H27" s="37">
        <f>INDEX(tblStaff[Salary],MATCH(Calculations!F27,tblStaff[Staff],0))</f>
        <v>120000</v>
      </c>
      <c r="I27" s="38">
        <f>SUMIFS(Assumptions!I$66:I$118,Assumptions!$F$66:$F$118,AssmStaffScenario,Assumptions!$G$66:$G$118,Calculations!$F27)</f>
        <v>0</v>
      </c>
      <c r="J27" s="38">
        <f>SUMIFS(Assumptions!J$66:J$118,Assumptions!$F$66:$F$118,AssmStaffScenario,Assumptions!$G$66:$G$118,Calculations!$F27)</f>
        <v>1</v>
      </c>
      <c r="K27" s="38">
        <f>SUMIFS(Assumptions!K$66:K$118,Assumptions!$F$66:$F$118,AssmStaffScenario,Assumptions!$G$66:$G$118,Calculations!$F27)</f>
        <v>1</v>
      </c>
      <c r="L27" s="38">
        <f>SUMIFS(Assumptions!L$66:L$118,Assumptions!$F$66:$F$118,AssmStaffScenario,Assumptions!$G$66:$G$118,Calculations!$F27)</f>
        <v>1</v>
      </c>
      <c r="M27" s="38">
        <f>SUMIFS(Assumptions!M$66:M$118,Assumptions!$F$66:$F$118,AssmStaffScenario,Assumptions!$G$66:$G$118,Calculations!$F27)</f>
        <v>1</v>
      </c>
      <c r="N27" s="38">
        <f>SUMIFS(Assumptions!N$66:N$118,Assumptions!$F$66:$F$118,AssmStaffScenario,Assumptions!$G$66:$G$118,Calculations!$F27)</f>
        <v>1</v>
      </c>
      <c r="O27" s="38">
        <f>SUMIFS(Assumptions!O$66:O$118,Assumptions!$F$66:$F$118,AssmStaffScenario,Assumptions!$G$66:$G$118,Calculations!$F27)</f>
        <v>1</v>
      </c>
      <c r="P27" s="38">
        <f>SUMIFS(Assumptions!P$66:P$118,Assumptions!$F$66:$F$118,AssmStaffScenario,Assumptions!$G$66:$G$118,Calculations!$F27)</f>
        <v>1</v>
      </c>
      <c r="Q27" s="38">
        <f>SUMIFS(Assumptions!Q$66:Q$118,Assumptions!$F$66:$F$118,AssmStaffScenario,Assumptions!$G$66:$G$118,Calculations!$F27)</f>
        <v>1</v>
      </c>
      <c r="R27" s="38">
        <f>SUMIFS(Assumptions!R$66:R$118,Assumptions!$F$66:$F$118,AssmStaffScenario,Assumptions!$G$66:$G$118,Calculations!$F27)</f>
        <v>1</v>
      </c>
      <c r="S27" s="38">
        <f>SUMIFS(Assumptions!S$66:S$118,Assumptions!$F$66:$F$118,AssmStaffScenario,Assumptions!$G$66:$G$118,Calculations!$F27)</f>
        <v>1</v>
      </c>
      <c r="T27" s="38">
        <f>SUMIFS(Assumptions!T$66:T$118,Assumptions!$F$66:$F$118,AssmStaffScenario,Assumptions!$G$66:$G$118,Calculations!$F27)</f>
        <v>1</v>
      </c>
      <c r="U27" s="38">
        <f>SUMIFS(Assumptions!U$66:U$118,Assumptions!$F$66:$F$118,AssmStaffScenario,Assumptions!$G$66:$G$118,Calculations!$F27)</f>
        <v>1</v>
      </c>
      <c r="V27" s="38">
        <f>SUMIFS(Assumptions!V$66:V$118,Assumptions!$F$66:$F$118,AssmStaffScenario,Assumptions!$G$66:$G$118,Calculations!$F27)</f>
        <v>1</v>
      </c>
      <c r="W27" s="38">
        <f>SUMIFS(Assumptions!W$66:W$118,Assumptions!$F$66:$F$118,AssmStaffScenario,Assumptions!$G$66:$G$118,Calculations!$F27)</f>
        <v>1</v>
      </c>
      <c r="X27" s="38">
        <f>SUMIFS(Assumptions!X$66:X$118,Assumptions!$F$66:$F$118,AssmStaffScenario,Assumptions!$G$66:$G$118,Calculations!$F27)</f>
        <v>1</v>
      </c>
      <c r="Y27" s="38">
        <f>SUMIFS(Assumptions!Y$66:Y$118,Assumptions!$F$66:$F$118,AssmStaffScenario,Assumptions!$G$66:$G$118,Calculations!$F27)</f>
        <v>1</v>
      </c>
      <c r="Z27" s="38">
        <f>SUMIFS(Assumptions!Z$66:Z$118,Assumptions!$F$66:$F$118,AssmStaffScenario,Assumptions!$G$66:$G$118,Calculations!$F27)</f>
        <v>1</v>
      </c>
      <c r="AA27" s="38">
        <f>SUMIFS(Assumptions!AA$66:AA$118,Assumptions!$F$66:$F$118,AssmStaffScenario,Assumptions!$G$66:$G$118,Calculations!$F27)</f>
        <v>1</v>
      </c>
      <c r="AB27" s="38">
        <f>SUMIFS(Assumptions!AB$66:AB$118,Assumptions!$F$66:$F$118,AssmStaffScenario,Assumptions!$G$66:$G$118,Calculations!$F27)</f>
        <v>1</v>
      </c>
      <c r="AC27" s="38">
        <f>SUMIFS(Assumptions!AC$66:AC$118,Assumptions!$F$66:$F$118,AssmStaffScenario,Assumptions!$G$66:$G$118,Calculations!$F27)</f>
        <v>1</v>
      </c>
      <c r="AD27" s="38">
        <f>SUMIFS(Assumptions!AD$66:AD$118,Assumptions!$F$66:$F$118,AssmStaffScenario,Assumptions!$G$66:$G$118,Calculations!$F27)</f>
        <v>1</v>
      </c>
      <c r="AE27" s="38">
        <f>SUMIFS(Assumptions!AE$66:AE$118,Assumptions!$F$66:$F$118,AssmStaffScenario,Assumptions!$G$66:$G$118,Calculations!$F27)</f>
        <v>1</v>
      </c>
      <c r="AF27" s="38">
        <f>SUMIFS(Assumptions!AF$66:AF$118,Assumptions!$F$66:$F$118,AssmStaffScenario,Assumptions!$G$66:$G$118,Calculations!$F27)</f>
        <v>1</v>
      </c>
      <c r="AG27" s="38">
        <f>SUMIFS(Assumptions!AG$66:AG$118,Assumptions!$F$66:$F$118,AssmStaffScenario,Assumptions!$G$66:$G$118,Calculations!$F27)</f>
        <v>1</v>
      </c>
      <c r="AH27" s="38">
        <f>SUMIFS(Assumptions!AH$66:AH$118,Assumptions!$F$66:$F$118,AssmStaffScenario,Assumptions!$G$66:$G$118,Calculations!$F27)</f>
        <v>1</v>
      </c>
      <c r="AI27" s="38">
        <f>SUMIFS(Assumptions!AI$66:AI$118,Assumptions!$F$66:$F$118,AssmStaffScenario,Assumptions!$G$66:$G$118,Calculations!$F27)</f>
        <v>1</v>
      </c>
      <c r="AJ27" s="38">
        <f>SUMIFS(Assumptions!AJ$66:AJ$118,Assumptions!$F$66:$F$118,AssmStaffScenario,Assumptions!$G$66:$G$118,Calculations!$F27)</f>
        <v>1</v>
      </c>
      <c r="AK27" s="38">
        <f>SUMIFS(Assumptions!AK$66:AK$118,Assumptions!$F$66:$F$118,AssmStaffScenario,Assumptions!$G$66:$G$118,Calculations!$F27)</f>
        <v>1</v>
      </c>
      <c r="AL27" s="38">
        <f>SUMIFS(Assumptions!AL$66:AL$118,Assumptions!$F$66:$F$118,AssmStaffScenario,Assumptions!$G$66:$G$118,Calculations!$F27)</f>
        <v>1</v>
      </c>
      <c r="AM27" s="38">
        <f>SUMIFS(Assumptions!AM$66:AM$118,Assumptions!$F$66:$F$118,AssmStaffScenario,Assumptions!$G$66:$G$118,Calculations!$F27)</f>
        <v>1</v>
      </c>
      <c r="AN27" s="38">
        <f>SUMIFS(Assumptions!AN$66:AN$118,Assumptions!$F$66:$F$118,AssmStaffScenario,Assumptions!$G$66:$G$118,Calculations!$F27)</f>
        <v>1</v>
      </c>
      <c r="AO27" s="38">
        <f>SUMIFS(Assumptions!AO$66:AO$118,Assumptions!$F$66:$F$118,AssmStaffScenario,Assumptions!$G$66:$G$118,Calculations!$F27)</f>
        <v>1</v>
      </c>
      <c r="AP27" s="38">
        <f>SUMIFS(Assumptions!AP$66:AP$118,Assumptions!$F$66:$F$118,AssmStaffScenario,Assumptions!$G$66:$G$118,Calculations!$F27)</f>
        <v>1</v>
      </c>
      <c r="AQ27" s="38">
        <f>SUMIFS(Assumptions!AQ$66:AQ$118,Assumptions!$F$66:$F$118,AssmStaffScenario,Assumptions!$G$66:$G$118,Calculations!$F27)</f>
        <v>1</v>
      </c>
      <c r="AR27" s="38">
        <f>SUMIFS(Assumptions!AR$66:AR$118,Assumptions!$F$66:$F$118,AssmStaffScenario,Assumptions!$G$66:$G$118,Calculations!$F27)</f>
        <v>1</v>
      </c>
      <c r="AS27" s="38">
        <f>SUMIFS(Assumptions!AS$66:AS$118,Assumptions!$F$66:$F$118,AssmStaffScenario,Assumptions!$G$66:$G$118,Calculations!$F27)</f>
        <v>1</v>
      </c>
      <c r="AT27" s="38">
        <f>SUMIFS(Assumptions!AT$66:AT$118,Assumptions!$F$66:$F$118,AssmStaffScenario,Assumptions!$G$66:$G$118,Calculations!$F27)</f>
        <v>1</v>
      </c>
      <c r="AU27" s="38">
        <f>SUMIFS(Assumptions!AU$66:AU$118,Assumptions!$F$66:$F$118,AssmStaffScenario,Assumptions!$G$66:$G$118,Calculations!$F27)</f>
        <v>1</v>
      </c>
      <c r="AV27" s="38">
        <f>SUMIFS(Assumptions!AV$66:AV$118,Assumptions!$F$66:$F$118,AssmStaffScenario,Assumptions!$G$66:$G$118,Calculations!$F27)</f>
        <v>1</v>
      </c>
      <c r="AW27" s="38">
        <f>SUMIFS(Assumptions!AW$66:AW$118,Assumptions!$F$66:$F$118,AssmStaffScenario,Assumptions!$G$66:$G$118,Calculations!$F27)</f>
        <v>1</v>
      </c>
      <c r="AX27" s="38">
        <f>SUMIFS(Assumptions!AX$66:AX$118,Assumptions!$F$66:$F$118,AssmStaffScenario,Assumptions!$G$66:$G$118,Calculations!$F27)</f>
        <v>1</v>
      </c>
      <c r="AY27" s="38">
        <f>SUMIFS(Assumptions!AY$66:AY$118,Assumptions!$F$66:$F$118,AssmStaffScenario,Assumptions!$G$66:$G$118,Calculations!$F27)</f>
        <v>1</v>
      </c>
      <c r="AZ27" s="38">
        <f>SUMIFS(Assumptions!AZ$66:AZ$118,Assumptions!$F$66:$F$118,AssmStaffScenario,Assumptions!$G$66:$G$118,Calculations!$F27)</f>
        <v>1</v>
      </c>
      <c r="BA27" s="38">
        <f>SUMIFS(Assumptions!BA$66:BA$118,Assumptions!$F$66:$F$118,AssmStaffScenario,Assumptions!$G$66:$G$118,Calculations!$F27)</f>
        <v>1</v>
      </c>
      <c r="BB27" s="38">
        <f>SUMIFS(Assumptions!BB$66:BB$118,Assumptions!$F$66:$F$118,AssmStaffScenario,Assumptions!$G$66:$G$118,Calculations!$F27)</f>
        <v>1</v>
      </c>
      <c r="BC27" s="38">
        <f>SUMIFS(Assumptions!BC$66:BC$118,Assumptions!$F$66:$F$118,AssmStaffScenario,Assumptions!$G$66:$G$118,Calculations!$F27)</f>
        <v>1</v>
      </c>
      <c r="BD27" s="38">
        <f>SUMIFS(Assumptions!BD$66:BD$118,Assumptions!$F$66:$F$118,AssmStaffScenario,Assumptions!$G$66:$G$118,Calculations!$F27)</f>
        <v>1</v>
      </c>
      <c r="BE27" s="38">
        <f>SUMIFS(Assumptions!BE$66:BE$118,Assumptions!$F$66:$F$118,AssmStaffScenario,Assumptions!$G$66:$G$118,Calculations!$F27)</f>
        <v>1</v>
      </c>
      <c r="BF27" s="38">
        <f>SUMIFS(Assumptions!BF$66:BF$118,Assumptions!$F$66:$F$118,AssmStaffScenario,Assumptions!$G$66:$G$118,Calculations!$F27)</f>
        <v>1</v>
      </c>
      <c r="BG27" s="38">
        <f>SUMIFS(Assumptions!BG$66:BG$118,Assumptions!$F$66:$F$118,AssmStaffScenario,Assumptions!$G$66:$G$118,Calculations!$F27)</f>
        <v>1</v>
      </c>
      <c r="BH27" s="38">
        <f>SUMIFS(Assumptions!BH$66:BH$118,Assumptions!$F$66:$F$118,AssmStaffScenario,Assumptions!$G$66:$G$118,Calculations!$F27)</f>
        <v>1</v>
      </c>
      <c r="BI27" s="38">
        <f>SUMIFS(Assumptions!BI$66:BI$118,Assumptions!$F$66:$F$118,AssmStaffScenario,Assumptions!$G$66:$G$118,Calculations!$F27)</f>
        <v>1</v>
      </c>
      <c r="BJ27" s="38">
        <f>SUMIFS(Assumptions!BJ$66:BJ$118,Assumptions!$F$66:$F$118,AssmStaffScenario,Assumptions!$G$66:$G$118,Calculations!$F27)</f>
        <v>1</v>
      </c>
      <c r="BK27" s="38">
        <f>SUMIFS(Assumptions!BK$66:BK$118,Assumptions!$F$66:$F$118,AssmStaffScenario,Assumptions!$G$66:$G$118,Calculations!$F27)</f>
        <v>1</v>
      </c>
      <c r="BL27" s="38">
        <f>SUMIFS(Assumptions!BL$66:BL$118,Assumptions!$F$66:$F$118,AssmStaffScenario,Assumptions!$G$66:$G$118,Calculations!$F27)</f>
        <v>1</v>
      </c>
      <c r="BM27" s="38">
        <f>SUMIFS(Assumptions!BM$66:BM$118,Assumptions!$F$66:$F$118,AssmStaffScenario,Assumptions!$G$66:$G$118,Calculations!$F27)</f>
        <v>1</v>
      </c>
      <c r="BN27" s="38">
        <f>SUMIFS(Assumptions!BN$66:BN$118,Assumptions!$F$66:$F$118,AssmStaffScenario,Assumptions!$G$66:$G$118,Calculations!$F27)</f>
        <v>1</v>
      </c>
      <c r="BO27" s="38">
        <f>SUMIFS(Assumptions!BO$66:BO$118,Assumptions!$F$66:$F$118,AssmStaffScenario,Assumptions!$G$66:$G$118,Calculations!$F27)</f>
        <v>1</v>
      </c>
      <c r="BP27" s="38">
        <f>SUMIFS(Assumptions!BP$66:BP$118,Assumptions!$F$66:$F$118,AssmStaffScenario,Assumptions!$G$66:$G$118,Calculations!$F27)</f>
        <v>1</v>
      </c>
    </row>
    <row r="28" spans="1:68" s="30" customFormat="1" ht="15" x14ac:dyDescent="0.25">
      <c r="F28" s="30" t="s">
        <v>83</v>
      </c>
      <c r="H28" s="37">
        <f>INDEX(tblStaff[Salary],MATCH(Calculations!F28,tblStaff[Staff],0))</f>
        <v>100000</v>
      </c>
      <c r="I28" s="38">
        <f>SUMIFS(Assumptions!I$66:I$118,Assumptions!$F$66:$F$118,AssmStaffScenario,Assumptions!$G$66:$G$118,Calculations!$F28)</f>
        <v>0</v>
      </c>
      <c r="J28" s="38">
        <f>SUMIFS(Assumptions!J$66:J$118,Assumptions!$F$66:$F$118,AssmStaffScenario,Assumptions!$G$66:$G$118,Calculations!$F28)</f>
        <v>0</v>
      </c>
      <c r="K28" s="38">
        <f>SUMIFS(Assumptions!K$66:K$118,Assumptions!$F$66:$F$118,AssmStaffScenario,Assumptions!$G$66:$G$118,Calculations!$F28)</f>
        <v>1</v>
      </c>
      <c r="L28" s="38">
        <f>SUMIFS(Assumptions!L$66:L$118,Assumptions!$F$66:$F$118,AssmStaffScenario,Assumptions!$G$66:$G$118,Calculations!$F28)</f>
        <v>2</v>
      </c>
      <c r="M28" s="38">
        <f>SUMIFS(Assumptions!M$66:M$118,Assumptions!$F$66:$F$118,AssmStaffScenario,Assumptions!$G$66:$G$118,Calculations!$F28)</f>
        <v>2</v>
      </c>
      <c r="N28" s="38">
        <f>SUMIFS(Assumptions!N$66:N$118,Assumptions!$F$66:$F$118,AssmStaffScenario,Assumptions!$G$66:$G$118,Calculations!$F28)</f>
        <v>3</v>
      </c>
      <c r="O28" s="38">
        <f>SUMIFS(Assumptions!O$66:O$118,Assumptions!$F$66:$F$118,AssmStaffScenario,Assumptions!$G$66:$G$118,Calculations!$F28)</f>
        <v>4</v>
      </c>
      <c r="P28" s="38">
        <f>SUMIFS(Assumptions!P$66:P$118,Assumptions!$F$66:$F$118,AssmStaffScenario,Assumptions!$G$66:$G$118,Calculations!$F28)</f>
        <v>4</v>
      </c>
      <c r="Q28" s="38">
        <f>SUMIFS(Assumptions!Q$66:Q$118,Assumptions!$F$66:$F$118,AssmStaffScenario,Assumptions!$G$66:$G$118,Calculations!$F28)</f>
        <v>5</v>
      </c>
      <c r="R28" s="38">
        <f>SUMIFS(Assumptions!R$66:R$118,Assumptions!$F$66:$F$118,AssmStaffScenario,Assumptions!$G$66:$G$118,Calculations!$F28)</f>
        <v>6</v>
      </c>
      <c r="S28" s="38">
        <f>SUMIFS(Assumptions!S$66:S$118,Assumptions!$F$66:$F$118,AssmStaffScenario,Assumptions!$G$66:$G$118,Calculations!$F28)</f>
        <v>7</v>
      </c>
      <c r="T28" s="38">
        <f>SUMIFS(Assumptions!T$66:T$118,Assumptions!$F$66:$F$118,AssmStaffScenario,Assumptions!$G$66:$G$118,Calculations!$F28)</f>
        <v>8</v>
      </c>
      <c r="U28" s="38">
        <f>SUMIFS(Assumptions!U$66:U$118,Assumptions!$F$66:$F$118,AssmStaffScenario,Assumptions!$G$66:$G$118,Calculations!$F28)</f>
        <v>9</v>
      </c>
      <c r="V28" s="38">
        <f>SUMIFS(Assumptions!V$66:V$118,Assumptions!$F$66:$F$118,AssmStaffScenario,Assumptions!$G$66:$G$118,Calculations!$F28)</f>
        <v>10</v>
      </c>
      <c r="W28" s="38">
        <f>SUMIFS(Assumptions!W$66:W$118,Assumptions!$F$66:$F$118,AssmStaffScenario,Assumptions!$G$66:$G$118,Calculations!$F28)</f>
        <v>11</v>
      </c>
      <c r="X28" s="38">
        <f>SUMIFS(Assumptions!X$66:X$118,Assumptions!$F$66:$F$118,AssmStaffScenario,Assumptions!$G$66:$G$118,Calculations!$F28)</f>
        <v>12</v>
      </c>
      <c r="Y28" s="38">
        <f>SUMIFS(Assumptions!Y$66:Y$118,Assumptions!$F$66:$F$118,AssmStaffScenario,Assumptions!$G$66:$G$118,Calculations!$F28)</f>
        <v>13</v>
      </c>
      <c r="Z28" s="38">
        <f>SUMIFS(Assumptions!Z$66:Z$118,Assumptions!$F$66:$F$118,AssmStaffScenario,Assumptions!$G$66:$G$118,Calculations!$F28)</f>
        <v>14</v>
      </c>
      <c r="AA28" s="38">
        <f>SUMIFS(Assumptions!AA$66:AA$118,Assumptions!$F$66:$F$118,AssmStaffScenario,Assumptions!$G$66:$G$118,Calculations!$F28)</f>
        <v>15</v>
      </c>
      <c r="AB28" s="38">
        <f>SUMIFS(Assumptions!AB$66:AB$118,Assumptions!$F$66:$F$118,AssmStaffScenario,Assumptions!$G$66:$G$118,Calculations!$F28)</f>
        <v>16</v>
      </c>
      <c r="AC28" s="38">
        <f>SUMIFS(Assumptions!AC$66:AC$118,Assumptions!$F$66:$F$118,AssmStaffScenario,Assumptions!$G$66:$G$118,Calculations!$F28)</f>
        <v>17</v>
      </c>
      <c r="AD28" s="38">
        <f>SUMIFS(Assumptions!AD$66:AD$118,Assumptions!$F$66:$F$118,AssmStaffScenario,Assumptions!$G$66:$G$118,Calculations!$F28)</f>
        <v>18</v>
      </c>
      <c r="AE28" s="38">
        <f>SUMIFS(Assumptions!AE$66:AE$118,Assumptions!$F$66:$F$118,AssmStaffScenario,Assumptions!$G$66:$G$118,Calculations!$F28)</f>
        <v>19</v>
      </c>
      <c r="AF28" s="38">
        <f>SUMIFS(Assumptions!AF$66:AF$118,Assumptions!$F$66:$F$118,AssmStaffScenario,Assumptions!$G$66:$G$118,Calculations!$F28)</f>
        <v>20</v>
      </c>
      <c r="AG28" s="38">
        <f>SUMIFS(Assumptions!AG$66:AG$118,Assumptions!$F$66:$F$118,AssmStaffScenario,Assumptions!$G$66:$G$118,Calculations!$F28)</f>
        <v>21</v>
      </c>
      <c r="AH28" s="38">
        <f>SUMIFS(Assumptions!AH$66:AH$118,Assumptions!$F$66:$F$118,AssmStaffScenario,Assumptions!$G$66:$G$118,Calculations!$F28)</f>
        <v>22</v>
      </c>
      <c r="AI28" s="38">
        <f>SUMIFS(Assumptions!AI$66:AI$118,Assumptions!$F$66:$F$118,AssmStaffScenario,Assumptions!$G$66:$G$118,Calculations!$F28)</f>
        <v>23</v>
      </c>
      <c r="AJ28" s="38">
        <f>SUMIFS(Assumptions!AJ$66:AJ$118,Assumptions!$F$66:$F$118,AssmStaffScenario,Assumptions!$G$66:$G$118,Calculations!$F28)</f>
        <v>24</v>
      </c>
      <c r="AK28" s="38">
        <f>SUMIFS(Assumptions!AK$66:AK$118,Assumptions!$F$66:$F$118,AssmStaffScenario,Assumptions!$G$66:$G$118,Calculations!$F28)</f>
        <v>25</v>
      </c>
      <c r="AL28" s="38">
        <f>SUMIFS(Assumptions!AL$66:AL$118,Assumptions!$F$66:$F$118,AssmStaffScenario,Assumptions!$G$66:$G$118,Calculations!$F28)</f>
        <v>26</v>
      </c>
      <c r="AM28" s="38">
        <f>SUMIFS(Assumptions!AM$66:AM$118,Assumptions!$F$66:$F$118,AssmStaffScenario,Assumptions!$G$66:$G$118,Calculations!$F28)</f>
        <v>27</v>
      </c>
      <c r="AN28" s="38">
        <f>SUMIFS(Assumptions!AN$66:AN$118,Assumptions!$F$66:$F$118,AssmStaffScenario,Assumptions!$G$66:$G$118,Calculations!$F28)</f>
        <v>28</v>
      </c>
      <c r="AO28" s="38">
        <f>SUMIFS(Assumptions!AO$66:AO$118,Assumptions!$F$66:$F$118,AssmStaffScenario,Assumptions!$G$66:$G$118,Calculations!$F28)</f>
        <v>29</v>
      </c>
      <c r="AP28" s="38">
        <f>SUMIFS(Assumptions!AP$66:AP$118,Assumptions!$F$66:$F$118,AssmStaffScenario,Assumptions!$G$66:$G$118,Calculations!$F28)</f>
        <v>30</v>
      </c>
      <c r="AQ28" s="38">
        <f>SUMIFS(Assumptions!AQ$66:AQ$118,Assumptions!$F$66:$F$118,AssmStaffScenario,Assumptions!$G$66:$G$118,Calculations!$F28)</f>
        <v>31</v>
      </c>
      <c r="AR28" s="38">
        <f>SUMIFS(Assumptions!AR$66:AR$118,Assumptions!$F$66:$F$118,AssmStaffScenario,Assumptions!$G$66:$G$118,Calculations!$F28)</f>
        <v>32</v>
      </c>
      <c r="AS28" s="38">
        <f>SUMIFS(Assumptions!AS$66:AS$118,Assumptions!$F$66:$F$118,AssmStaffScenario,Assumptions!$G$66:$G$118,Calculations!$F28)</f>
        <v>32</v>
      </c>
      <c r="AT28" s="38">
        <f>SUMIFS(Assumptions!AT$66:AT$118,Assumptions!$F$66:$F$118,AssmStaffScenario,Assumptions!$G$66:$G$118,Calculations!$F28)</f>
        <v>32</v>
      </c>
      <c r="AU28" s="38">
        <f>SUMIFS(Assumptions!AU$66:AU$118,Assumptions!$F$66:$F$118,AssmStaffScenario,Assumptions!$G$66:$G$118,Calculations!$F28)</f>
        <v>32</v>
      </c>
      <c r="AV28" s="38">
        <f>SUMIFS(Assumptions!AV$66:AV$118,Assumptions!$F$66:$F$118,AssmStaffScenario,Assumptions!$G$66:$G$118,Calculations!$F28)</f>
        <v>32</v>
      </c>
      <c r="AW28" s="38">
        <f>SUMIFS(Assumptions!AW$66:AW$118,Assumptions!$F$66:$F$118,AssmStaffScenario,Assumptions!$G$66:$G$118,Calculations!$F28)</f>
        <v>32</v>
      </c>
      <c r="AX28" s="38">
        <f>SUMIFS(Assumptions!AX$66:AX$118,Assumptions!$F$66:$F$118,AssmStaffScenario,Assumptions!$G$66:$G$118,Calculations!$F28)</f>
        <v>32</v>
      </c>
      <c r="AY28" s="38">
        <f>SUMIFS(Assumptions!AY$66:AY$118,Assumptions!$F$66:$F$118,AssmStaffScenario,Assumptions!$G$66:$G$118,Calculations!$F28)</f>
        <v>32</v>
      </c>
      <c r="AZ28" s="38">
        <f>SUMIFS(Assumptions!AZ$66:AZ$118,Assumptions!$F$66:$F$118,AssmStaffScenario,Assumptions!$G$66:$G$118,Calculations!$F28)</f>
        <v>32</v>
      </c>
      <c r="BA28" s="38">
        <f>SUMIFS(Assumptions!BA$66:BA$118,Assumptions!$F$66:$F$118,AssmStaffScenario,Assumptions!$G$66:$G$118,Calculations!$F28)</f>
        <v>32</v>
      </c>
      <c r="BB28" s="38">
        <f>SUMIFS(Assumptions!BB$66:BB$118,Assumptions!$F$66:$F$118,AssmStaffScenario,Assumptions!$G$66:$G$118,Calculations!$F28)</f>
        <v>32</v>
      </c>
      <c r="BC28" s="38">
        <f>SUMIFS(Assumptions!BC$66:BC$118,Assumptions!$F$66:$F$118,AssmStaffScenario,Assumptions!$G$66:$G$118,Calculations!$F28)</f>
        <v>32</v>
      </c>
      <c r="BD28" s="38">
        <f>SUMIFS(Assumptions!BD$66:BD$118,Assumptions!$F$66:$F$118,AssmStaffScenario,Assumptions!$G$66:$G$118,Calculations!$F28)</f>
        <v>32</v>
      </c>
      <c r="BE28" s="38">
        <f>SUMIFS(Assumptions!BE$66:BE$118,Assumptions!$F$66:$F$118,AssmStaffScenario,Assumptions!$G$66:$G$118,Calculations!$F28)</f>
        <v>32</v>
      </c>
      <c r="BF28" s="38">
        <f>SUMIFS(Assumptions!BF$66:BF$118,Assumptions!$F$66:$F$118,AssmStaffScenario,Assumptions!$G$66:$G$118,Calculations!$F28)</f>
        <v>32</v>
      </c>
      <c r="BG28" s="38">
        <f>SUMIFS(Assumptions!BG$66:BG$118,Assumptions!$F$66:$F$118,AssmStaffScenario,Assumptions!$G$66:$G$118,Calculations!$F28)</f>
        <v>32</v>
      </c>
      <c r="BH28" s="38">
        <f>SUMIFS(Assumptions!BH$66:BH$118,Assumptions!$F$66:$F$118,AssmStaffScenario,Assumptions!$G$66:$G$118,Calculations!$F28)</f>
        <v>32</v>
      </c>
      <c r="BI28" s="38">
        <f>SUMIFS(Assumptions!BI$66:BI$118,Assumptions!$F$66:$F$118,AssmStaffScenario,Assumptions!$G$66:$G$118,Calculations!$F28)</f>
        <v>32</v>
      </c>
      <c r="BJ28" s="38">
        <f>SUMIFS(Assumptions!BJ$66:BJ$118,Assumptions!$F$66:$F$118,AssmStaffScenario,Assumptions!$G$66:$G$118,Calculations!$F28)</f>
        <v>32</v>
      </c>
      <c r="BK28" s="38">
        <f>SUMIFS(Assumptions!BK$66:BK$118,Assumptions!$F$66:$F$118,AssmStaffScenario,Assumptions!$G$66:$G$118,Calculations!$F28)</f>
        <v>32</v>
      </c>
      <c r="BL28" s="38">
        <f>SUMIFS(Assumptions!BL$66:BL$118,Assumptions!$F$66:$F$118,AssmStaffScenario,Assumptions!$G$66:$G$118,Calculations!$F28)</f>
        <v>32</v>
      </c>
      <c r="BM28" s="38">
        <f>SUMIFS(Assumptions!BM$66:BM$118,Assumptions!$F$66:$F$118,AssmStaffScenario,Assumptions!$G$66:$G$118,Calculations!$F28)</f>
        <v>32</v>
      </c>
      <c r="BN28" s="38">
        <f>SUMIFS(Assumptions!BN$66:BN$118,Assumptions!$F$66:$F$118,AssmStaffScenario,Assumptions!$G$66:$G$118,Calculations!$F28)</f>
        <v>32</v>
      </c>
      <c r="BO28" s="38">
        <f>SUMIFS(Assumptions!BO$66:BO$118,Assumptions!$F$66:$F$118,AssmStaffScenario,Assumptions!$G$66:$G$118,Calculations!$F28)</f>
        <v>32</v>
      </c>
      <c r="BP28" s="38">
        <f>SUMIFS(Assumptions!BP$66:BP$118,Assumptions!$F$66:$F$118,AssmStaffScenario,Assumptions!$G$66:$G$118,Calculations!$F28)</f>
        <v>32</v>
      </c>
    </row>
    <row r="29" spans="1:68" s="30" customFormat="1" ht="15" x14ac:dyDescent="0.25">
      <c r="F29" s="30" t="s">
        <v>84</v>
      </c>
      <c r="H29" s="37">
        <f>INDEX(tblStaff[Salary],MATCH(Calculations!F29,tblStaff[Staff],0))</f>
        <v>90000</v>
      </c>
      <c r="I29" s="38">
        <f>SUMIFS(Assumptions!I$66:I$118,Assumptions!$F$66:$F$118,AssmStaffScenario,Assumptions!$G$66:$G$118,Calculations!$F29)</f>
        <v>0</v>
      </c>
      <c r="J29" s="38">
        <f>SUMIFS(Assumptions!J$66:J$118,Assumptions!$F$66:$F$118,AssmStaffScenario,Assumptions!$G$66:$G$118,Calculations!$F29)</f>
        <v>0</v>
      </c>
      <c r="K29" s="38">
        <f>SUMIFS(Assumptions!K$66:K$118,Assumptions!$F$66:$F$118,AssmStaffScenario,Assumptions!$G$66:$G$118,Calculations!$F29)</f>
        <v>1</v>
      </c>
      <c r="L29" s="38">
        <f>SUMIFS(Assumptions!L$66:L$118,Assumptions!$F$66:$F$118,AssmStaffScenario,Assumptions!$G$66:$G$118,Calculations!$F29)</f>
        <v>2</v>
      </c>
      <c r="M29" s="38">
        <f>SUMIFS(Assumptions!M$66:M$118,Assumptions!$F$66:$F$118,AssmStaffScenario,Assumptions!$G$66:$G$118,Calculations!$F29)</f>
        <v>3</v>
      </c>
      <c r="N29" s="38">
        <f>SUMIFS(Assumptions!N$66:N$118,Assumptions!$F$66:$F$118,AssmStaffScenario,Assumptions!$G$66:$G$118,Calculations!$F29)</f>
        <v>3</v>
      </c>
      <c r="O29" s="38">
        <f>SUMIFS(Assumptions!O$66:O$118,Assumptions!$F$66:$F$118,AssmStaffScenario,Assumptions!$G$66:$G$118,Calculations!$F29)</f>
        <v>4</v>
      </c>
      <c r="P29" s="38">
        <f>SUMIFS(Assumptions!P$66:P$118,Assumptions!$F$66:$F$118,AssmStaffScenario,Assumptions!$G$66:$G$118,Calculations!$F29)</f>
        <v>4</v>
      </c>
      <c r="Q29" s="38">
        <f>SUMIFS(Assumptions!Q$66:Q$118,Assumptions!$F$66:$F$118,AssmStaffScenario,Assumptions!$G$66:$G$118,Calculations!$F29)</f>
        <v>5</v>
      </c>
      <c r="R29" s="38">
        <f>SUMIFS(Assumptions!R$66:R$118,Assumptions!$F$66:$F$118,AssmStaffScenario,Assumptions!$G$66:$G$118,Calculations!$F29)</f>
        <v>6</v>
      </c>
      <c r="S29" s="38">
        <f>SUMIFS(Assumptions!S$66:S$118,Assumptions!$F$66:$F$118,AssmStaffScenario,Assumptions!$G$66:$G$118,Calculations!$F29)</f>
        <v>6</v>
      </c>
      <c r="T29" s="38">
        <f>SUMIFS(Assumptions!T$66:T$118,Assumptions!$F$66:$F$118,AssmStaffScenario,Assumptions!$G$66:$G$118,Calculations!$F29)</f>
        <v>7</v>
      </c>
      <c r="U29" s="38">
        <f>SUMIFS(Assumptions!U$66:U$118,Assumptions!$F$66:$F$118,AssmStaffScenario,Assumptions!$G$66:$G$118,Calculations!$F29)</f>
        <v>8</v>
      </c>
      <c r="V29" s="38">
        <f>SUMIFS(Assumptions!V$66:V$118,Assumptions!$F$66:$F$118,AssmStaffScenario,Assumptions!$G$66:$G$118,Calculations!$F29)</f>
        <v>9</v>
      </c>
      <c r="W29" s="38">
        <f>SUMIFS(Assumptions!W$66:W$118,Assumptions!$F$66:$F$118,AssmStaffScenario,Assumptions!$G$66:$G$118,Calculations!$F29)</f>
        <v>10</v>
      </c>
      <c r="X29" s="38">
        <f>SUMIFS(Assumptions!X$66:X$118,Assumptions!$F$66:$F$118,AssmStaffScenario,Assumptions!$G$66:$G$118,Calculations!$F29)</f>
        <v>11</v>
      </c>
      <c r="Y29" s="38">
        <f>SUMIFS(Assumptions!Y$66:Y$118,Assumptions!$F$66:$F$118,AssmStaffScenario,Assumptions!$G$66:$G$118,Calculations!$F29)</f>
        <v>12</v>
      </c>
      <c r="Z29" s="38">
        <f>SUMIFS(Assumptions!Z$66:Z$118,Assumptions!$F$66:$F$118,AssmStaffScenario,Assumptions!$G$66:$G$118,Calculations!$F29)</f>
        <v>13</v>
      </c>
      <c r="AA29" s="38">
        <f>SUMIFS(Assumptions!AA$66:AA$118,Assumptions!$F$66:$F$118,AssmStaffScenario,Assumptions!$G$66:$G$118,Calculations!$F29)</f>
        <v>14</v>
      </c>
      <c r="AB29" s="38">
        <f>SUMIFS(Assumptions!AB$66:AB$118,Assumptions!$F$66:$F$118,AssmStaffScenario,Assumptions!$G$66:$G$118,Calculations!$F29)</f>
        <v>15</v>
      </c>
      <c r="AC29" s="38">
        <f>SUMIFS(Assumptions!AC$66:AC$118,Assumptions!$F$66:$F$118,AssmStaffScenario,Assumptions!$G$66:$G$118,Calculations!$F29)</f>
        <v>16</v>
      </c>
      <c r="AD29" s="38">
        <f>SUMIFS(Assumptions!AD$66:AD$118,Assumptions!$F$66:$F$118,AssmStaffScenario,Assumptions!$G$66:$G$118,Calculations!$F29)</f>
        <v>17</v>
      </c>
      <c r="AE29" s="38">
        <f>SUMIFS(Assumptions!AE$66:AE$118,Assumptions!$F$66:$F$118,AssmStaffScenario,Assumptions!$G$66:$G$118,Calculations!$F29)</f>
        <v>18</v>
      </c>
      <c r="AF29" s="38">
        <f>SUMIFS(Assumptions!AF$66:AF$118,Assumptions!$F$66:$F$118,AssmStaffScenario,Assumptions!$G$66:$G$118,Calculations!$F29)</f>
        <v>19</v>
      </c>
      <c r="AG29" s="38">
        <f>SUMIFS(Assumptions!AG$66:AG$118,Assumptions!$F$66:$F$118,AssmStaffScenario,Assumptions!$G$66:$G$118,Calculations!$F29)</f>
        <v>20</v>
      </c>
      <c r="AH29" s="38">
        <f>SUMIFS(Assumptions!AH$66:AH$118,Assumptions!$F$66:$F$118,AssmStaffScenario,Assumptions!$G$66:$G$118,Calculations!$F29)</f>
        <v>21</v>
      </c>
      <c r="AI29" s="38">
        <f>SUMIFS(Assumptions!AI$66:AI$118,Assumptions!$F$66:$F$118,AssmStaffScenario,Assumptions!$G$66:$G$118,Calculations!$F29)</f>
        <v>22</v>
      </c>
      <c r="AJ29" s="38">
        <f>SUMIFS(Assumptions!AJ$66:AJ$118,Assumptions!$F$66:$F$118,AssmStaffScenario,Assumptions!$G$66:$G$118,Calculations!$F29)</f>
        <v>23</v>
      </c>
      <c r="AK29" s="38">
        <f>SUMIFS(Assumptions!AK$66:AK$118,Assumptions!$F$66:$F$118,AssmStaffScenario,Assumptions!$G$66:$G$118,Calculations!$F29)</f>
        <v>24</v>
      </c>
      <c r="AL29" s="38">
        <f>SUMIFS(Assumptions!AL$66:AL$118,Assumptions!$F$66:$F$118,AssmStaffScenario,Assumptions!$G$66:$G$118,Calculations!$F29)</f>
        <v>25</v>
      </c>
      <c r="AM29" s="38">
        <f>SUMIFS(Assumptions!AM$66:AM$118,Assumptions!$F$66:$F$118,AssmStaffScenario,Assumptions!$G$66:$G$118,Calculations!$F29)</f>
        <v>26</v>
      </c>
      <c r="AN29" s="38">
        <f>SUMIFS(Assumptions!AN$66:AN$118,Assumptions!$F$66:$F$118,AssmStaffScenario,Assumptions!$G$66:$G$118,Calculations!$F29)</f>
        <v>27</v>
      </c>
      <c r="AO29" s="38">
        <f>SUMIFS(Assumptions!AO$66:AO$118,Assumptions!$F$66:$F$118,AssmStaffScenario,Assumptions!$G$66:$G$118,Calculations!$F29)</f>
        <v>28</v>
      </c>
      <c r="AP29" s="38">
        <f>SUMIFS(Assumptions!AP$66:AP$118,Assumptions!$F$66:$F$118,AssmStaffScenario,Assumptions!$G$66:$G$118,Calculations!$F29)</f>
        <v>29</v>
      </c>
      <c r="AQ29" s="38">
        <f>SUMIFS(Assumptions!AQ$66:AQ$118,Assumptions!$F$66:$F$118,AssmStaffScenario,Assumptions!$G$66:$G$118,Calculations!$F29)</f>
        <v>30</v>
      </c>
      <c r="AR29" s="38">
        <f>SUMIFS(Assumptions!AR$66:AR$118,Assumptions!$F$66:$F$118,AssmStaffScenario,Assumptions!$G$66:$G$118,Calculations!$F29)</f>
        <v>31</v>
      </c>
      <c r="AS29" s="38">
        <f>SUMIFS(Assumptions!AS$66:AS$118,Assumptions!$F$66:$F$118,AssmStaffScenario,Assumptions!$G$66:$G$118,Calculations!$F29)</f>
        <v>31</v>
      </c>
      <c r="AT29" s="38">
        <f>SUMIFS(Assumptions!AT$66:AT$118,Assumptions!$F$66:$F$118,AssmStaffScenario,Assumptions!$G$66:$G$118,Calculations!$F29)</f>
        <v>31</v>
      </c>
      <c r="AU29" s="38">
        <f>SUMIFS(Assumptions!AU$66:AU$118,Assumptions!$F$66:$F$118,AssmStaffScenario,Assumptions!$G$66:$G$118,Calculations!$F29)</f>
        <v>31</v>
      </c>
      <c r="AV29" s="38">
        <f>SUMIFS(Assumptions!AV$66:AV$118,Assumptions!$F$66:$F$118,AssmStaffScenario,Assumptions!$G$66:$G$118,Calculations!$F29)</f>
        <v>31</v>
      </c>
      <c r="AW29" s="38">
        <f>SUMIFS(Assumptions!AW$66:AW$118,Assumptions!$F$66:$F$118,AssmStaffScenario,Assumptions!$G$66:$G$118,Calculations!$F29)</f>
        <v>31</v>
      </c>
      <c r="AX29" s="38">
        <f>SUMIFS(Assumptions!AX$66:AX$118,Assumptions!$F$66:$F$118,AssmStaffScenario,Assumptions!$G$66:$G$118,Calculations!$F29)</f>
        <v>31</v>
      </c>
      <c r="AY29" s="38">
        <f>SUMIFS(Assumptions!AY$66:AY$118,Assumptions!$F$66:$F$118,AssmStaffScenario,Assumptions!$G$66:$G$118,Calculations!$F29)</f>
        <v>31</v>
      </c>
      <c r="AZ29" s="38">
        <f>SUMIFS(Assumptions!AZ$66:AZ$118,Assumptions!$F$66:$F$118,AssmStaffScenario,Assumptions!$G$66:$G$118,Calculations!$F29)</f>
        <v>31</v>
      </c>
      <c r="BA29" s="38">
        <f>SUMIFS(Assumptions!BA$66:BA$118,Assumptions!$F$66:$F$118,AssmStaffScenario,Assumptions!$G$66:$G$118,Calculations!$F29)</f>
        <v>31</v>
      </c>
      <c r="BB29" s="38">
        <f>SUMIFS(Assumptions!BB$66:BB$118,Assumptions!$F$66:$F$118,AssmStaffScenario,Assumptions!$G$66:$G$118,Calculations!$F29)</f>
        <v>31</v>
      </c>
      <c r="BC29" s="38">
        <f>SUMIFS(Assumptions!BC$66:BC$118,Assumptions!$F$66:$F$118,AssmStaffScenario,Assumptions!$G$66:$G$118,Calculations!$F29)</f>
        <v>31</v>
      </c>
      <c r="BD29" s="38">
        <f>SUMIFS(Assumptions!BD$66:BD$118,Assumptions!$F$66:$F$118,AssmStaffScenario,Assumptions!$G$66:$G$118,Calculations!$F29)</f>
        <v>31</v>
      </c>
      <c r="BE29" s="38">
        <f>SUMIFS(Assumptions!BE$66:BE$118,Assumptions!$F$66:$F$118,AssmStaffScenario,Assumptions!$G$66:$G$118,Calculations!$F29)</f>
        <v>31</v>
      </c>
      <c r="BF29" s="38">
        <f>SUMIFS(Assumptions!BF$66:BF$118,Assumptions!$F$66:$F$118,AssmStaffScenario,Assumptions!$G$66:$G$118,Calculations!$F29)</f>
        <v>31</v>
      </c>
      <c r="BG29" s="38">
        <f>SUMIFS(Assumptions!BG$66:BG$118,Assumptions!$F$66:$F$118,AssmStaffScenario,Assumptions!$G$66:$G$118,Calculations!$F29)</f>
        <v>31</v>
      </c>
      <c r="BH29" s="38">
        <f>SUMIFS(Assumptions!BH$66:BH$118,Assumptions!$F$66:$F$118,AssmStaffScenario,Assumptions!$G$66:$G$118,Calculations!$F29)</f>
        <v>31</v>
      </c>
      <c r="BI29" s="38">
        <f>SUMIFS(Assumptions!BI$66:BI$118,Assumptions!$F$66:$F$118,AssmStaffScenario,Assumptions!$G$66:$G$118,Calculations!$F29)</f>
        <v>31</v>
      </c>
      <c r="BJ29" s="38">
        <f>SUMIFS(Assumptions!BJ$66:BJ$118,Assumptions!$F$66:$F$118,AssmStaffScenario,Assumptions!$G$66:$G$118,Calculations!$F29)</f>
        <v>31</v>
      </c>
      <c r="BK29" s="38">
        <f>SUMIFS(Assumptions!BK$66:BK$118,Assumptions!$F$66:$F$118,AssmStaffScenario,Assumptions!$G$66:$G$118,Calculations!$F29)</f>
        <v>31</v>
      </c>
      <c r="BL29" s="38">
        <f>SUMIFS(Assumptions!BL$66:BL$118,Assumptions!$F$66:$F$118,AssmStaffScenario,Assumptions!$G$66:$G$118,Calculations!$F29)</f>
        <v>31</v>
      </c>
      <c r="BM29" s="38">
        <f>SUMIFS(Assumptions!BM$66:BM$118,Assumptions!$F$66:$F$118,AssmStaffScenario,Assumptions!$G$66:$G$118,Calculations!$F29)</f>
        <v>31</v>
      </c>
      <c r="BN29" s="38">
        <f>SUMIFS(Assumptions!BN$66:BN$118,Assumptions!$F$66:$F$118,AssmStaffScenario,Assumptions!$G$66:$G$118,Calculations!$F29)</f>
        <v>31</v>
      </c>
      <c r="BO29" s="38">
        <f>SUMIFS(Assumptions!BO$66:BO$118,Assumptions!$F$66:$F$118,AssmStaffScenario,Assumptions!$G$66:$G$118,Calculations!$F29)</f>
        <v>31</v>
      </c>
      <c r="BP29" s="38">
        <f>SUMIFS(Assumptions!BP$66:BP$118,Assumptions!$F$66:$F$118,AssmStaffScenario,Assumptions!$G$66:$G$118,Calculations!$F29)</f>
        <v>31</v>
      </c>
    </row>
    <row r="30" spans="1:68" s="30" customFormat="1" ht="15" x14ac:dyDescent="0.25">
      <c r="F30" s="30" t="s">
        <v>85</v>
      </c>
      <c r="H30" s="37">
        <f>INDEX(tblStaff[Salary],MATCH(Calculations!F30,tblStaff[Staff],0))</f>
        <v>80000</v>
      </c>
      <c r="I30" s="38">
        <f>SUMIFS(Assumptions!I$66:I$118,Assumptions!$F$66:$F$118,AssmStaffScenario,Assumptions!$G$66:$G$118,Calculations!$F30)</f>
        <v>0</v>
      </c>
      <c r="J30" s="38">
        <f>SUMIFS(Assumptions!J$66:J$118,Assumptions!$F$66:$F$118,AssmStaffScenario,Assumptions!$G$66:$G$118,Calculations!$F30)</f>
        <v>0</v>
      </c>
      <c r="K30" s="38">
        <f>SUMIFS(Assumptions!K$66:K$118,Assumptions!$F$66:$F$118,AssmStaffScenario,Assumptions!$G$66:$G$118,Calculations!$F30)</f>
        <v>1</v>
      </c>
      <c r="L30" s="38">
        <f>SUMIFS(Assumptions!L$66:L$118,Assumptions!$F$66:$F$118,AssmStaffScenario,Assumptions!$G$66:$G$118,Calculations!$F30)</f>
        <v>1</v>
      </c>
      <c r="M30" s="38">
        <f>SUMIFS(Assumptions!M$66:M$118,Assumptions!$F$66:$F$118,AssmStaffScenario,Assumptions!$G$66:$G$118,Calculations!$F30)</f>
        <v>1</v>
      </c>
      <c r="N30" s="38">
        <f>SUMIFS(Assumptions!N$66:N$118,Assumptions!$F$66:$F$118,AssmStaffScenario,Assumptions!$G$66:$G$118,Calculations!$F30)</f>
        <v>1</v>
      </c>
      <c r="O30" s="38">
        <f>SUMIFS(Assumptions!O$66:O$118,Assumptions!$F$66:$F$118,AssmStaffScenario,Assumptions!$G$66:$G$118,Calculations!$F30)</f>
        <v>2</v>
      </c>
      <c r="P30" s="38">
        <f>SUMIFS(Assumptions!P$66:P$118,Assumptions!$F$66:$F$118,AssmStaffScenario,Assumptions!$G$66:$G$118,Calculations!$F30)</f>
        <v>2</v>
      </c>
      <c r="Q30" s="38">
        <f>SUMIFS(Assumptions!Q$66:Q$118,Assumptions!$F$66:$F$118,AssmStaffScenario,Assumptions!$G$66:$G$118,Calculations!$F30)</f>
        <v>2</v>
      </c>
      <c r="R30" s="38">
        <f>SUMIFS(Assumptions!R$66:R$118,Assumptions!$F$66:$F$118,AssmStaffScenario,Assumptions!$G$66:$G$118,Calculations!$F30)</f>
        <v>2</v>
      </c>
      <c r="S30" s="38">
        <f>SUMIFS(Assumptions!S$66:S$118,Assumptions!$F$66:$F$118,AssmStaffScenario,Assumptions!$G$66:$G$118,Calculations!$F30)</f>
        <v>3</v>
      </c>
      <c r="T30" s="38">
        <f>SUMIFS(Assumptions!T$66:T$118,Assumptions!$F$66:$F$118,AssmStaffScenario,Assumptions!$G$66:$G$118,Calculations!$F30)</f>
        <v>3</v>
      </c>
      <c r="U30" s="38">
        <f>SUMIFS(Assumptions!U$66:U$118,Assumptions!$F$66:$F$118,AssmStaffScenario,Assumptions!$G$66:$G$118,Calculations!$F30)</f>
        <v>3</v>
      </c>
      <c r="V30" s="38">
        <f>SUMIFS(Assumptions!V$66:V$118,Assumptions!$F$66:$F$118,AssmStaffScenario,Assumptions!$G$66:$G$118,Calculations!$F30)</f>
        <v>3</v>
      </c>
      <c r="W30" s="38">
        <f>SUMIFS(Assumptions!W$66:W$118,Assumptions!$F$66:$F$118,AssmStaffScenario,Assumptions!$G$66:$G$118,Calculations!$F30)</f>
        <v>3</v>
      </c>
      <c r="X30" s="38">
        <f>SUMIFS(Assumptions!X$66:X$118,Assumptions!$F$66:$F$118,AssmStaffScenario,Assumptions!$G$66:$G$118,Calculations!$F30)</f>
        <v>3</v>
      </c>
      <c r="Y30" s="38">
        <f>SUMIFS(Assumptions!Y$66:Y$118,Assumptions!$F$66:$F$118,AssmStaffScenario,Assumptions!$G$66:$G$118,Calculations!$F30)</f>
        <v>3</v>
      </c>
      <c r="Z30" s="38">
        <f>SUMIFS(Assumptions!Z$66:Z$118,Assumptions!$F$66:$F$118,AssmStaffScenario,Assumptions!$G$66:$G$118,Calculations!$F30)</f>
        <v>3</v>
      </c>
      <c r="AA30" s="38">
        <f>SUMIFS(Assumptions!AA$66:AA$118,Assumptions!$F$66:$F$118,AssmStaffScenario,Assumptions!$G$66:$G$118,Calculations!$F30)</f>
        <v>3</v>
      </c>
      <c r="AB30" s="38">
        <f>SUMIFS(Assumptions!AB$66:AB$118,Assumptions!$F$66:$F$118,AssmStaffScenario,Assumptions!$G$66:$G$118,Calculations!$F30)</f>
        <v>3</v>
      </c>
      <c r="AC30" s="38">
        <f>SUMIFS(Assumptions!AC$66:AC$118,Assumptions!$F$66:$F$118,AssmStaffScenario,Assumptions!$G$66:$G$118,Calculations!$F30)</f>
        <v>3</v>
      </c>
      <c r="AD30" s="38">
        <f>SUMIFS(Assumptions!AD$66:AD$118,Assumptions!$F$66:$F$118,AssmStaffScenario,Assumptions!$G$66:$G$118,Calculations!$F30)</f>
        <v>3</v>
      </c>
      <c r="AE30" s="38">
        <f>SUMIFS(Assumptions!AE$66:AE$118,Assumptions!$F$66:$F$118,AssmStaffScenario,Assumptions!$G$66:$G$118,Calculations!$F30)</f>
        <v>3</v>
      </c>
      <c r="AF30" s="38">
        <f>SUMIFS(Assumptions!AF$66:AF$118,Assumptions!$F$66:$F$118,AssmStaffScenario,Assumptions!$G$66:$G$118,Calculations!$F30)</f>
        <v>4</v>
      </c>
      <c r="AG30" s="38">
        <f>SUMIFS(Assumptions!AG$66:AG$118,Assumptions!$F$66:$F$118,AssmStaffScenario,Assumptions!$G$66:$G$118,Calculations!$F30)</f>
        <v>4</v>
      </c>
      <c r="AH30" s="38">
        <f>SUMIFS(Assumptions!AH$66:AH$118,Assumptions!$F$66:$F$118,AssmStaffScenario,Assumptions!$G$66:$G$118,Calculations!$F30)</f>
        <v>4</v>
      </c>
      <c r="AI30" s="38">
        <f>SUMIFS(Assumptions!AI$66:AI$118,Assumptions!$F$66:$F$118,AssmStaffScenario,Assumptions!$G$66:$G$118,Calculations!$F30)</f>
        <v>4</v>
      </c>
      <c r="AJ30" s="38">
        <f>SUMIFS(Assumptions!AJ$66:AJ$118,Assumptions!$F$66:$F$118,AssmStaffScenario,Assumptions!$G$66:$G$118,Calculations!$F30)</f>
        <v>4</v>
      </c>
      <c r="AK30" s="38">
        <f>SUMIFS(Assumptions!AK$66:AK$118,Assumptions!$F$66:$F$118,AssmStaffScenario,Assumptions!$G$66:$G$118,Calculations!$F30)</f>
        <v>4</v>
      </c>
      <c r="AL30" s="38">
        <f>SUMIFS(Assumptions!AL$66:AL$118,Assumptions!$F$66:$F$118,AssmStaffScenario,Assumptions!$G$66:$G$118,Calculations!$F30)</f>
        <v>4</v>
      </c>
      <c r="AM30" s="38">
        <f>SUMIFS(Assumptions!AM$66:AM$118,Assumptions!$F$66:$F$118,AssmStaffScenario,Assumptions!$G$66:$G$118,Calculations!$F30)</f>
        <v>4</v>
      </c>
      <c r="AN30" s="38">
        <f>SUMIFS(Assumptions!AN$66:AN$118,Assumptions!$F$66:$F$118,AssmStaffScenario,Assumptions!$G$66:$G$118,Calculations!$F30)</f>
        <v>4</v>
      </c>
      <c r="AO30" s="38">
        <f>SUMIFS(Assumptions!AO$66:AO$118,Assumptions!$F$66:$F$118,AssmStaffScenario,Assumptions!$G$66:$G$118,Calculations!$F30)</f>
        <v>4</v>
      </c>
      <c r="AP30" s="38">
        <f>SUMIFS(Assumptions!AP$66:AP$118,Assumptions!$F$66:$F$118,AssmStaffScenario,Assumptions!$G$66:$G$118,Calculations!$F30)</f>
        <v>4</v>
      </c>
      <c r="AQ30" s="38">
        <f>SUMIFS(Assumptions!AQ$66:AQ$118,Assumptions!$F$66:$F$118,AssmStaffScenario,Assumptions!$G$66:$G$118,Calculations!$F30)</f>
        <v>4</v>
      </c>
      <c r="AR30" s="38">
        <f>SUMIFS(Assumptions!AR$66:AR$118,Assumptions!$F$66:$F$118,AssmStaffScenario,Assumptions!$G$66:$G$118,Calculations!$F30)</f>
        <v>4</v>
      </c>
      <c r="AS30" s="38">
        <f>SUMIFS(Assumptions!AS$66:AS$118,Assumptions!$F$66:$F$118,AssmStaffScenario,Assumptions!$G$66:$G$118,Calculations!$F30)</f>
        <v>4</v>
      </c>
      <c r="AT30" s="38">
        <f>SUMIFS(Assumptions!AT$66:AT$118,Assumptions!$F$66:$F$118,AssmStaffScenario,Assumptions!$G$66:$G$118,Calculations!$F30)</f>
        <v>4</v>
      </c>
      <c r="AU30" s="38">
        <f>SUMIFS(Assumptions!AU$66:AU$118,Assumptions!$F$66:$F$118,AssmStaffScenario,Assumptions!$G$66:$G$118,Calculations!$F30)</f>
        <v>4</v>
      </c>
      <c r="AV30" s="38">
        <f>SUMIFS(Assumptions!AV$66:AV$118,Assumptions!$F$66:$F$118,AssmStaffScenario,Assumptions!$G$66:$G$118,Calculations!$F30)</f>
        <v>4</v>
      </c>
      <c r="AW30" s="38">
        <f>SUMIFS(Assumptions!AW$66:AW$118,Assumptions!$F$66:$F$118,AssmStaffScenario,Assumptions!$G$66:$G$118,Calculations!$F30)</f>
        <v>4</v>
      </c>
      <c r="AX30" s="38">
        <f>SUMIFS(Assumptions!AX$66:AX$118,Assumptions!$F$66:$F$118,AssmStaffScenario,Assumptions!$G$66:$G$118,Calculations!$F30)</f>
        <v>4</v>
      </c>
      <c r="AY30" s="38">
        <f>SUMIFS(Assumptions!AY$66:AY$118,Assumptions!$F$66:$F$118,AssmStaffScenario,Assumptions!$G$66:$G$118,Calculations!$F30)</f>
        <v>4</v>
      </c>
      <c r="AZ30" s="38">
        <f>SUMIFS(Assumptions!AZ$66:AZ$118,Assumptions!$F$66:$F$118,AssmStaffScenario,Assumptions!$G$66:$G$118,Calculations!$F30)</f>
        <v>4</v>
      </c>
      <c r="BA30" s="38">
        <f>SUMIFS(Assumptions!BA$66:BA$118,Assumptions!$F$66:$F$118,AssmStaffScenario,Assumptions!$G$66:$G$118,Calculations!$F30)</f>
        <v>4</v>
      </c>
      <c r="BB30" s="38">
        <f>SUMIFS(Assumptions!BB$66:BB$118,Assumptions!$F$66:$F$118,AssmStaffScenario,Assumptions!$G$66:$G$118,Calculations!$F30)</f>
        <v>4</v>
      </c>
      <c r="BC30" s="38">
        <f>SUMIFS(Assumptions!BC$66:BC$118,Assumptions!$F$66:$F$118,AssmStaffScenario,Assumptions!$G$66:$G$118,Calculations!$F30)</f>
        <v>4</v>
      </c>
      <c r="BD30" s="38">
        <f>SUMIFS(Assumptions!BD$66:BD$118,Assumptions!$F$66:$F$118,AssmStaffScenario,Assumptions!$G$66:$G$118,Calculations!$F30)</f>
        <v>4</v>
      </c>
      <c r="BE30" s="38">
        <f>SUMIFS(Assumptions!BE$66:BE$118,Assumptions!$F$66:$F$118,AssmStaffScenario,Assumptions!$G$66:$G$118,Calculations!$F30)</f>
        <v>4</v>
      </c>
      <c r="BF30" s="38">
        <f>SUMIFS(Assumptions!BF$66:BF$118,Assumptions!$F$66:$F$118,AssmStaffScenario,Assumptions!$G$66:$G$118,Calculations!$F30)</f>
        <v>4</v>
      </c>
      <c r="BG30" s="38">
        <f>SUMIFS(Assumptions!BG$66:BG$118,Assumptions!$F$66:$F$118,AssmStaffScenario,Assumptions!$G$66:$G$118,Calculations!$F30)</f>
        <v>4</v>
      </c>
      <c r="BH30" s="38">
        <f>SUMIFS(Assumptions!BH$66:BH$118,Assumptions!$F$66:$F$118,AssmStaffScenario,Assumptions!$G$66:$G$118,Calculations!$F30)</f>
        <v>4</v>
      </c>
      <c r="BI30" s="38">
        <f>SUMIFS(Assumptions!BI$66:BI$118,Assumptions!$F$66:$F$118,AssmStaffScenario,Assumptions!$G$66:$G$118,Calculations!$F30)</f>
        <v>4</v>
      </c>
      <c r="BJ30" s="38">
        <f>SUMIFS(Assumptions!BJ$66:BJ$118,Assumptions!$F$66:$F$118,AssmStaffScenario,Assumptions!$G$66:$G$118,Calculations!$F30)</f>
        <v>4</v>
      </c>
      <c r="BK30" s="38">
        <f>SUMIFS(Assumptions!BK$66:BK$118,Assumptions!$F$66:$F$118,AssmStaffScenario,Assumptions!$G$66:$G$118,Calculations!$F30)</f>
        <v>4</v>
      </c>
      <c r="BL30" s="38">
        <f>SUMIFS(Assumptions!BL$66:BL$118,Assumptions!$F$66:$F$118,AssmStaffScenario,Assumptions!$G$66:$G$118,Calculations!$F30)</f>
        <v>4</v>
      </c>
      <c r="BM30" s="38">
        <f>SUMIFS(Assumptions!BM$66:BM$118,Assumptions!$F$66:$F$118,AssmStaffScenario,Assumptions!$G$66:$G$118,Calculations!$F30)</f>
        <v>4</v>
      </c>
      <c r="BN30" s="38">
        <f>SUMIFS(Assumptions!BN$66:BN$118,Assumptions!$F$66:$F$118,AssmStaffScenario,Assumptions!$G$66:$G$118,Calculations!$F30)</f>
        <v>4</v>
      </c>
      <c r="BO30" s="38">
        <f>SUMIFS(Assumptions!BO$66:BO$118,Assumptions!$F$66:$F$118,AssmStaffScenario,Assumptions!$G$66:$G$118,Calculations!$F30)</f>
        <v>4</v>
      </c>
      <c r="BP30" s="38">
        <f>SUMIFS(Assumptions!BP$66:BP$118,Assumptions!$F$66:$F$118,AssmStaffScenario,Assumptions!$G$66:$G$118,Calculations!$F30)</f>
        <v>4</v>
      </c>
    </row>
    <row r="31" spans="1:68" s="30" customFormat="1" ht="15" x14ac:dyDescent="0.25">
      <c r="F31" s="30" t="s">
        <v>86</v>
      </c>
      <c r="H31" s="37">
        <f>INDEX(tblStaff[Salary],MATCH(Calculations!F31,tblStaff[Staff],0))</f>
        <v>120000</v>
      </c>
      <c r="I31" s="38">
        <f>SUMIFS(Assumptions!I$66:I$118,Assumptions!$F$66:$F$118,AssmStaffScenario,Assumptions!$G$66:$G$118,Calculations!$F31)</f>
        <v>0.5</v>
      </c>
      <c r="J31" s="38">
        <f>SUMIFS(Assumptions!J$66:J$118,Assumptions!$F$66:$F$118,AssmStaffScenario,Assumptions!$G$66:$G$118,Calculations!$F31)</f>
        <v>0.5</v>
      </c>
      <c r="K31" s="38">
        <f>SUMIFS(Assumptions!K$66:K$118,Assumptions!$F$66:$F$118,AssmStaffScenario,Assumptions!$G$66:$G$118,Calculations!$F31)</f>
        <v>1</v>
      </c>
      <c r="L31" s="38">
        <f>SUMIFS(Assumptions!L$66:L$118,Assumptions!$F$66:$F$118,AssmStaffScenario,Assumptions!$G$66:$G$118,Calculations!$F31)</f>
        <v>1</v>
      </c>
      <c r="M31" s="38">
        <f>SUMIFS(Assumptions!M$66:M$118,Assumptions!$F$66:$F$118,AssmStaffScenario,Assumptions!$G$66:$G$118,Calculations!$F31)</f>
        <v>1</v>
      </c>
      <c r="N31" s="38">
        <f>SUMIFS(Assumptions!N$66:N$118,Assumptions!$F$66:$F$118,AssmStaffScenario,Assumptions!$G$66:$G$118,Calculations!$F31)</f>
        <v>1</v>
      </c>
      <c r="O31" s="38">
        <f>SUMIFS(Assumptions!O$66:O$118,Assumptions!$F$66:$F$118,AssmStaffScenario,Assumptions!$G$66:$G$118,Calculations!$F31)</f>
        <v>1</v>
      </c>
      <c r="P31" s="38">
        <f>SUMIFS(Assumptions!P$66:P$118,Assumptions!$F$66:$F$118,AssmStaffScenario,Assumptions!$G$66:$G$118,Calculations!$F31)</f>
        <v>1</v>
      </c>
      <c r="Q31" s="38">
        <f>SUMIFS(Assumptions!Q$66:Q$118,Assumptions!$F$66:$F$118,AssmStaffScenario,Assumptions!$G$66:$G$118,Calculations!$F31)</f>
        <v>1</v>
      </c>
      <c r="R31" s="38">
        <f>SUMIFS(Assumptions!R$66:R$118,Assumptions!$F$66:$F$118,AssmStaffScenario,Assumptions!$G$66:$G$118,Calculations!$F31)</f>
        <v>1</v>
      </c>
      <c r="S31" s="38">
        <f>SUMIFS(Assumptions!S$66:S$118,Assumptions!$F$66:$F$118,AssmStaffScenario,Assumptions!$G$66:$G$118,Calculations!$F31)</f>
        <v>1</v>
      </c>
      <c r="T31" s="38">
        <f>SUMIFS(Assumptions!T$66:T$118,Assumptions!$F$66:$F$118,AssmStaffScenario,Assumptions!$G$66:$G$118,Calculations!$F31)</f>
        <v>1</v>
      </c>
      <c r="U31" s="38">
        <f>SUMIFS(Assumptions!U$66:U$118,Assumptions!$F$66:$F$118,AssmStaffScenario,Assumptions!$G$66:$G$118,Calculations!$F31)</f>
        <v>1</v>
      </c>
      <c r="V31" s="38">
        <f>SUMIFS(Assumptions!V$66:V$118,Assumptions!$F$66:$F$118,AssmStaffScenario,Assumptions!$G$66:$G$118,Calculations!$F31)</f>
        <v>1</v>
      </c>
      <c r="W31" s="38">
        <f>SUMIFS(Assumptions!W$66:W$118,Assumptions!$F$66:$F$118,AssmStaffScenario,Assumptions!$G$66:$G$118,Calculations!$F31)</f>
        <v>1</v>
      </c>
      <c r="X31" s="38">
        <f>SUMIFS(Assumptions!X$66:X$118,Assumptions!$F$66:$F$118,AssmStaffScenario,Assumptions!$G$66:$G$118,Calculations!$F31)</f>
        <v>1</v>
      </c>
      <c r="Y31" s="38">
        <f>SUMIFS(Assumptions!Y$66:Y$118,Assumptions!$F$66:$F$118,AssmStaffScenario,Assumptions!$G$66:$G$118,Calculations!$F31)</f>
        <v>1</v>
      </c>
      <c r="Z31" s="38">
        <f>SUMIFS(Assumptions!Z$66:Z$118,Assumptions!$F$66:$F$118,AssmStaffScenario,Assumptions!$G$66:$G$118,Calculations!$F31)</f>
        <v>1</v>
      </c>
      <c r="AA31" s="38">
        <f>SUMIFS(Assumptions!AA$66:AA$118,Assumptions!$F$66:$F$118,AssmStaffScenario,Assumptions!$G$66:$G$118,Calculations!$F31)</f>
        <v>1</v>
      </c>
      <c r="AB31" s="38">
        <f>SUMIFS(Assumptions!AB$66:AB$118,Assumptions!$F$66:$F$118,AssmStaffScenario,Assumptions!$G$66:$G$118,Calculations!$F31)</f>
        <v>1</v>
      </c>
      <c r="AC31" s="38">
        <f>SUMIFS(Assumptions!AC$66:AC$118,Assumptions!$F$66:$F$118,AssmStaffScenario,Assumptions!$G$66:$G$118,Calculations!$F31)</f>
        <v>1</v>
      </c>
      <c r="AD31" s="38">
        <f>SUMIFS(Assumptions!AD$66:AD$118,Assumptions!$F$66:$F$118,AssmStaffScenario,Assumptions!$G$66:$G$118,Calculations!$F31)</f>
        <v>1</v>
      </c>
      <c r="AE31" s="38">
        <f>SUMIFS(Assumptions!AE$66:AE$118,Assumptions!$F$66:$F$118,AssmStaffScenario,Assumptions!$G$66:$G$118,Calculations!$F31)</f>
        <v>1</v>
      </c>
      <c r="AF31" s="38">
        <f>SUMIFS(Assumptions!AF$66:AF$118,Assumptions!$F$66:$F$118,AssmStaffScenario,Assumptions!$G$66:$G$118,Calculations!$F31)</f>
        <v>1</v>
      </c>
      <c r="AG31" s="38">
        <f>SUMIFS(Assumptions!AG$66:AG$118,Assumptions!$F$66:$F$118,AssmStaffScenario,Assumptions!$G$66:$G$118,Calculations!$F31)</f>
        <v>1</v>
      </c>
      <c r="AH31" s="38">
        <f>SUMIFS(Assumptions!AH$66:AH$118,Assumptions!$F$66:$F$118,AssmStaffScenario,Assumptions!$G$66:$G$118,Calculations!$F31)</f>
        <v>1</v>
      </c>
      <c r="AI31" s="38">
        <f>SUMIFS(Assumptions!AI$66:AI$118,Assumptions!$F$66:$F$118,AssmStaffScenario,Assumptions!$G$66:$G$118,Calculations!$F31)</f>
        <v>1</v>
      </c>
      <c r="AJ31" s="38">
        <f>SUMIFS(Assumptions!AJ$66:AJ$118,Assumptions!$F$66:$F$118,AssmStaffScenario,Assumptions!$G$66:$G$118,Calculations!$F31)</f>
        <v>1</v>
      </c>
      <c r="AK31" s="38">
        <f>SUMIFS(Assumptions!AK$66:AK$118,Assumptions!$F$66:$F$118,AssmStaffScenario,Assumptions!$G$66:$G$118,Calculations!$F31)</f>
        <v>1</v>
      </c>
      <c r="AL31" s="38">
        <f>SUMIFS(Assumptions!AL$66:AL$118,Assumptions!$F$66:$F$118,AssmStaffScenario,Assumptions!$G$66:$G$118,Calculations!$F31)</f>
        <v>1</v>
      </c>
      <c r="AM31" s="38">
        <f>SUMIFS(Assumptions!AM$66:AM$118,Assumptions!$F$66:$F$118,AssmStaffScenario,Assumptions!$G$66:$G$118,Calculations!$F31)</f>
        <v>1</v>
      </c>
      <c r="AN31" s="38">
        <f>SUMIFS(Assumptions!AN$66:AN$118,Assumptions!$F$66:$F$118,AssmStaffScenario,Assumptions!$G$66:$G$118,Calculations!$F31)</f>
        <v>1</v>
      </c>
      <c r="AO31" s="38">
        <f>SUMIFS(Assumptions!AO$66:AO$118,Assumptions!$F$66:$F$118,AssmStaffScenario,Assumptions!$G$66:$G$118,Calculations!$F31)</f>
        <v>1</v>
      </c>
      <c r="AP31" s="38">
        <f>SUMIFS(Assumptions!AP$66:AP$118,Assumptions!$F$66:$F$118,AssmStaffScenario,Assumptions!$G$66:$G$118,Calculations!$F31)</f>
        <v>1</v>
      </c>
      <c r="AQ31" s="38">
        <f>SUMIFS(Assumptions!AQ$66:AQ$118,Assumptions!$F$66:$F$118,AssmStaffScenario,Assumptions!$G$66:$G$118,Calculations!$F31)</f>
        <v>1</v>
      </c>
      <c r="AR31" s="38">
        <f>SUMIFS(Assumptions!AR$66:AR$118,Assumptions!$F$66:$F$118,AssmStaffScenario,Assumptions!$G$66:$G$118,Calculations!$F31)</f>
        <v>1</v>
      </c>
      <c r="AS31" s="38">
        <f>SUMIFS(Assumptions!AS$66:AS$118,Assumptions!$F$66:$F$118,AssmStaffScenario,Assumptions!$G$66:$G$118,Calculations!$F31)</f>
        <v>1</v>
      </c>
      <c r="AT31" s="38">
        <f>SUMIFS(Assumptions!AT$66:AT$118,Assumptions!$F$66:$F$118,AssmStaffScenario,Assumptions!$G$66:$G$118,Calculations!$F31)</f>
        <v>1</v>
      </c>
      <c r="AU31" s="38">
        <f>SUMIFS(Assumptions!AU$66:AU$118,Assumptions!$F$66:$F$118,AssmStaffScenario,Assumptions!$G$66:$G$118,Calculations!$F31)</f>
        <v>1</v>
      </c>
      <c r="AV31" s="38">
        <f>SUMIFS(Assumptions!AV$66:AV$118,Assumptions!$F$66:$F$118,AssmStaffScenario,Assumptions!$G$66:$G$118,Calculations!$F31)</f>
        <v>1</v>
      </c>
      <c r="AW31" s="38">
        <f>SUMIFS(Assumptions!AW$66:AW$118,Assumptions!$F$66:$F$118,AssmStaffScenario,Assumptions!$G$66:$G$118,Calculations!$F31)</f>
        <v>1</v>
      </c>
      <c r="AX31" s="38">
        <f>SUMIFS(Assumptions!AX$66:AX$118,Assumptions!$F$66:$F$118,AssmStaffScenario,Assumptions!$G$66:$G$118,Calculations!$F31)</f>
        <v>1</v>
      </c>
      <c r="AY31" s="38">
        <f>SUMIFS(Assumptions!AY$66:AY$118,Assumptions!$F$66:$F$118,AssmStaffScenario,Assumptions!$G$66:$G$118,Calculations!$F31)</f>
        <v>1</v>
      </c>
      <c r="AZ31" s="38">
        <f>SUMIFS(Assumptions!AZ$66:AZ$118,Assumptions!$F$66:$F$118,AssmStaffScenario,Assumptions!$G$66:$G$118,Calculations!$F31)</f>
        <v>1</v>
      </c>
      <c r="BA31" s="38">
        <f>SUMIFS(Assumptions!BA$66:BA$118,Assumptions!$F$66:$F$118,AssmStaffScenario,Assumptions!$G$66:$G$118,Calculations!$F31)</f>
        <v>1</v>
      </c>
      <c r="BB31" s="38">
        <f>SUMIFS(Assumptions!BB$66:BB$118,Assumptions!$F$66:$F$118,AssmStaffScenario,Assumptions!$G$66:$G$118,Calculations!$F31)</f>
        <v>1</v>
      </c>
      <c r="BC31" s="38">
        <f>SUMIFS(Assumptions!BC$66:BC$118,Assumptions!$F$66:$F$118,AssmStaffScenario,Assumptions!$G$66:$G$118,Calculations!$F31)</f>
        <v>1</v>
      </c>
      <c r="BD31" s="38">
        <f>SUMIFS(Assumptions!BD$66:BD$118,Assumptions!$F$66:$F$118,AssmStaffScenario,Assumptions!$G$66:$G$118,Calculations!$F31)</f>
        <v>1</v>
      </c>
      <c r="BE31" s="38">
        <f>SUMIFS(Assumptions!BE$66:BE$118,Assumptions!$F$66:$F$118,AssmStaffScenario,Assumptions!$G$66:$G$118,Calculations!$F31)</f>
        <v>1</v>
      </c>
      <c r="BF31" s="38">
        <f>SUMIFS(Assumptions!BF$66:BF$118,Assumptions!$F$66:$F$118,AssmStaffScenario,Assumptions!$G$66:$G$118,Calculations!$F31)</f>
        <v>1</v>
      </c>
      <c r="BG31" s="38">
        <f>SUMIFS(Assumptions!BG$66:BG$118,Assumptions!$F$66:$F$118,AssmStaffScenario,Assumptions!$G$66:$G$118,Calculations!$F31)</f>
        <v>1</v>
      </c>
      <c r="BH31" s="38">
        <f>SUMIFS(Assumptions!BH$66:BH$118,Assumptions!$F$66:$F$118,AssmStaffScenario,Assumptions!$G$66:$G$118,Calculations!$F31)</f>
        <v>1</v>
      </c>
      <c r="BI31" s="38">
        <f>SUMIFS(Assumptions!BI$66:BI$118,Assumptions!$F$66:$F$118,AssmStaffScenario,Assumptions!$G$66:$G$118,Calculations!$F31)</f>
        <v>1</v>
      </c>
      <c r="BJ31" s="38">
        <f>SUMIFS(Assumptions!BJ$66:BJ$118,Assumptions!$F$66:$F$118,AssmStaffScenario,Assumptions!$G$66:$G$118,Calculations!$F31)</f>
        <v>1</v>
      </c>
      <c r="BK31" s="38">
        <f>SUMIFS(Assumptions!BK$66:BK$118,Assumptions!$F$66:$F$118,AssmStaffScenario,Assumptions!$G$66:$G$118,Calculations!$F31)</f>
        <v>1</v>
      </c>
      <c r="BL31" s="38">
        <f>SUMIFS(Assumptions!BL$66:BL$118,Assumptions!$F$66:$F$118,AssmStaffScenario,Assumptions!$G$66:$G$118,Calculations!$F31)</f>
        <v>1</v>
      </c>
      <c r="BM31" s="38">
        <f>SUMIFS(Assumptions!BM$66:BM$118,Assumptions!$F$66:$F$118,AssmStaffScenario,Assumptions!$G$66:$G$118,Calculations!$F31)</f>
        <v>1</v>
      </c>
      <c r="BN31" s="38">
        <f>SUMIFS(Assumptions!BN$66:BN$118,Assumptions!$F$66:$F$118,AssmStaffScenario,Assumptions!$G$66:$G$118,Calculations!$F31)</f>
        <v>1</v>
      </c>
      <c r="BO31" s="38">
        <f>SUMIFS(Assumptions!BO$66:BO$118,Assumptions!$F$66:$F$118,AssmStaffScenario,Assumptions!$G$66:$G$118,Calculations!$F31)</f>
        <v>1</v>
      </c>
      <c r="BP31" s="38">
        <f>SUMIFS(Assumptions!BP$66:BP$118,Assumptions!$F$66:$F$118,AssmStaffScenario,Assumptions!$G$66:$G$118,Calculations!$F31)</f>
        <v>1</v>
      </c>
    </row>
    <row r="32" spans="1:68" s="30" customFormat="1" ht="15" x14ac:dyDescent="0.25">
      <c r="F32" s="30" t="s">
        <v>87</v>
      </c>
      <c r="H32" s="37">
        <f>INDEX(tblStaff[Salary],MATCH(Calculations!F32,tblStaff[Staff],0))</f>
        <v>100000</v>
      </c>
      <c r="I32" s="38">
        <f>SUMIFS(Assumptions!I$66:I$118,Assumptions!$F$66:$F$118,AssmStaffScenario,Assumptions!$G$66:$G$118,Calculations!$F32)</f>
        <v>0</v>
      </c>
      <c r="J32" s="38">
        <f>SUMIFS(Assumptions!J$66:J$118,Assumptions!$F$66:$F$118,AssmStaffScenario,Assumptions!$G$66:$G$118,Calculations!$F32)</f>
        <v>0</v>
      </c>
      <c r="K32" s="38">
        <f>SUMIFS(Assumptions!K$66:K$118,Assumptions!$F$66:$F$118,AssmStaffScenario,Assumptions!$G$66:$G$118,Calculations!$F32)</f>
        <v>0</v>
      </c>
      <c r="L32" s="38">
        <f>SUMIFS(Assumptions!L$66:L$118,Assumptions!$F$66:$F$118,AssmStaffScenario,Assumptions!$G$66:$G$118,Calculations!$F32)</f>
        <v>0</v>
      </c>
      <c r="M32" s="38">
        <f>SUMIFS(Assumptions!M$66:M$118,Assumptions!$F$66:$F$118,AssmStaffScenario,Assumptions!$G$66:$G$118,Calculations!$F32)</f>
        <v>0</v>
      </c>
      <c r="N32" s="38">
        <f>SUMIFS(Assumptions!N$66:N$118,Assumptions!$F$66:$F$118,AssmStaffScenario,Assumptions!$G$66:$G$118,Calculations!$F32)</f>
        <v>1</v>
      </c>
      <c r="O32" s="38">
        <f>SUMIFS(Assumptions!O$66:O$118,Assumptions!$F$66:$F$118,AssmStaffScenario,Assumptions!$G$66:$G$118,Calculations!$F32)</f>
        <v>1</v>
      </c>
      <c r="P32" s="38">
        <f>SUMIFS(Assumptions!P$66:P$118,Assumptions!$F$66:$F$118,AssmStaffScenario,Assumptions!$G$66:$G$118,Calculations!$F32)</f>
        <v>1</v>
      </c>
      <c r="Q32" s="38">
        <f>SUMIFS(Assumptions!Q$66:Q$118,Assumptions!$F$66:$F$118,AssmStaffScenario,Assumptions!$G$66:$G$118,Calculations!$F32)</f>
        <v>1</v>
      </c>
      <c r="R32" s="38">
        <f>SUMIFS(Assumptions!R$66:R$118,Assumptions!$F$66:$F$118,AssmStaffScenario,Assumptions!$G$66:$G$118,Calculations!$F32)</f>
        <v>2</v>
      </c>
      <c r="S32" s="38">
        <f>SUMIFS(Assumptions!S$66:S$118,Assumptions!$F$66:$F$118,AssmStaffScenario,Assumptions!$G$66:$G$118,Calculations!$F32)</f>
        <v>2</v>
      </c>
      <c r="T32" s="38">
        <f>SUMIFS(Assumptions!T$66:T$118,Assumptions!$F$66:$F$118,AssmStaffScenario,Assumptions!$G$66:$G$118,Calculations!$F32)</f>
        <v>2</v>
      </c>
      <c r="U32" s="38">
        <f>SUMIFS(Assumptions!U$66:U$118,Assumptions!$F$66:$F$118,AssmStaffScenario,Assumptions!$G$66:$G$118,Calculations!$F32)</f>
        <v>2</v>
      </c>
      <c r="V32" s="38">
        <f>SUMIFS(Assumptions!V$66:V$118,Assumptions!$F$66:$F$118,AssmStaffScenario,Assumptions!$G$66:$G$118,Calculations!$F32)</f>
        <v>3</v>
      </c>
      <c r="W32" s="38">
        <f>SUMIFS(Assumptions!W$66:W$118,Assumptions!$F$66:$F$118,AssmStaffScenario,Assumptions!$G$66:$G$118,Calculations!$F32)</f>
        <v>3</v>
      </c>
      <c r="X32" s="38">
        <f>SUMIFS(Assumptions!X$66:X$118,Assumptions!$F$66:$F$118,AssmStaffScenario,Assumptions!$G$66:$G$118,Calculations!$F32)</f>
        <v>3</v>
      </c>
      <c r="Y32" s="38">
        <f>SUMIFS(Assumptions!Y$66:Y$118,Assumptions!$F$66:$F$118,AssmStaffScenario,Assumptions!$G$66:$G$118,Calculations!$F32)</f>
        <v>4</v>
      </c>
      <c r="Z32" s="38">
        <f>SUMIFS(Assumptions!Z$66:Z$118,Assumptions!$F$66:$F$118,AssmStaffScenario,Assumptions!$G$66:$G$118,Calculations!$F32)</f>
        <v>4</v>
      </c>
      <c r="AA32" s="38">
        <f>SUMIFS(Assumptions!AA$66:AA$118,Assumptions!$F$66:$F$118,AssmStaffScenario,Assumptions!$G$66:$G$118,Calculations!$F32)</f>
        <v>4</v>
      </c>
      <c r="AB32" s="38">
        <f>SUMIFS(Assumptions!AB$66:AB$118,Assumptions!$F$66:$F$118,AssmStaffScenario,Assumptions!$G$66:$G$118,Calculations!$F32)</f>
        <v>4</v>
      </c>
      <c r="AC32" s="38">
        <f>SUMIFS(Assumptions!AC$66:AC$118,Assumptions!$F$66:$F$118,AssmStaffScenario,Assumptions!$G$66:$G$118,Calculations!$F32)</f>
        <v>5</v>
      </c>
      <c r="AD32" s="38">
        <f>SUMIFS(Assumptions!AD$66:AD$118,Assumptions!$F$66:$F$118,AssmStaffScenario,Assumptions!$G$66:$G$118,Calculations!$F32)</f>
        <v>5</v>
      </c>
      <c r="AE32" s="38">
        <f>SUMIFS(Assumptions!AE$66:AE$118,Assumptions!$F$66:$F$118,AssmStaffScenario,Assumptions!$G$66:$G$118,Calculations!$F32)</f>
        <v>5</v>
      </c>
      <c r="AF32" s="38">
        <f>SUMIFS(Assumptions!AF$66:AF$118,Assumptions!$F$66:$F$118,AssmStaffScenario,Assumptions!$G$66:$G$118,Calculations!$F32)</f>
        <v>5</v>
      </c>
      <c r="AG32" s="38">
        <f>SUMIFS(Assumptions!AG$66:AG$118,Assumptions!$F$66:$F$118,AssmStaffScenario,Assumptions!$G$66:$G$118,Calculations!$F32)</f>
        <v>5</v>
      </c>
      <c r="AH32" s="38">
        <f>SUMIFS(Assumptions!AH$66:AH$118,Assumptions!$F$66:$F$118,AssmStaffScenario,Assumptions!$G$66:$G$118,Calculations!$F32)</f>
        <v>6</v>
      </c>
      <c r="AI32" s="38">
        <f>SUMIFS(Assumptions!AI$66:AI$118,Assumptions!$F$66:$F$118,AssmStaffScenario,Assumptions!$G$66:$G$118,Calculations!$F32)</f>
        <v>6</v>
      </c>
      <c r="AJ32" s="38">
        <f>SUMIFS(Assumptions!AJ$66:AJ$118,Assumptions!$F$66:$F$118,AssmStaffScenario,Assumptions!$G$66:$G$118,Calculations!$F32)</f>
        <v>6</v>
      </c>
      <c r="AK32" s="38">
        <f>SUMIFS(Assumptions!AK$66:AK$118,Assumptions!$F$66:$F$118,AssmStaffScenario,Assumptions!$G$66:$G$118,Calculations!$F32)</f>
        <v>6</v>
      </c>
      <c r="AL32" s="38">
        <f>SUMIFS(Assumptions!AL$66:AL$118,Assumptions!$F$66:$F$118,AssmStaffScenario,Assumptions!$G$66:$G$118,Calculations!$F32)</f>
        <v>7</v>
      </c>
      <c r="AM32" s="38">
        <f>SUMIFS(Assumptions!AM$66:AM$118,Assumptions!$F$66:$F$118,AssmStaffScenario,Assumptions!$G$66:$G$118,Calculations!$F32)</f>
        <v>7</v>
      </c>
      <c r="AN32" s="38">
        <f>SUMIFS(Assumptions!AN$66:AN$118,Assumptions!$F$66:$F$118,AssmStaffScenario,Assumptions!$G$66:$G$118,Calculations!$F32)</f>
        <v>7</v>
      </c>
      <c r="AO32" s="38">
        <f>SUMIFS(Assumptions!AO$66:AO$118,Assumptions!$F$66:$F$118,AssmStaffScenario,Assumptions!$G$66:$G$118,Calculations!$F32)</f>
        <v>8</v>
      </c>
      <c r="AP32" s="38">
        <f>SUMIFS(Assumptions!AP$66:AP$118,Assumptions!$F$66:$F$118,AssmStaffScenario,Assumptions!$G$66:$G$118,Calculations!$F32)</f>
        <v>8</v>
      </c>
      <c r="AQ32" s="38">
        <f>SUMIFS(Assumptions!AQ$66:AQ$118,Assumptions!$F$66:$F$118,AssmStaffScenario,Assumptions!$G$66:$G$118,Calculations!$F32)</f>
        <v>9</v>
      </c>
      <c r="AR32" s="38">
        <f>SUMIFS(Assumptions!AR$66:AR$118,Assumptions!$F$66:$F$118,AssmStaffScenario,Assumptions!$G$66:$G$118,Calculations!$F32)</f>
        <v>9</v>
      </c>
      <c r="AS32" s="38">
        <f>SUMIFS(Assumptions!AS$66:AS$118,Assumptions!$F$66:$F$118,AssmStaffScenario,Assumptions!$G$66:$G$118,Calculations!$F32)</f>
        <v>9</v>
      </c>
      <c r="AT32" s="38">
        <f>SUMIFS(Assumptions!AT$66:AT$118,Assumptions!$F$66:$F$118,AssmStaffScenario,Assumptions!$G$66:$G$118,Calculations!$F32)</f>
        <v>9</v>
      </c>
      <c r="AU32" s="38">
        <f>SUMIFS(Assumptions!AU$66:AU$118,Assumptions!$F$66:$F$118,AssmStaffScenario,Assumptions!$G$66:$G$118,Calculations!$F32)</f>
        <v>9</v>
      </c>
      <c r="AV32" s="38">
        <f>SUMIFS(Assumptions!AV$66:AV$118,Assumptions!$F$66:$F$118,AssmStaffScenario,Assumptions!$G$66:$G$118,Calculations!$F32)</f>
        <v>9</v>
      </c>
      <c r="AW32" s="38">
        <f>SUMIFS(Assumptions!AW$66:AW$118,Assumptions!$F$66:$F$118,AssmStaffScenario,Assumptions!$G$66:$G$118,Calculations!$F32)</f>
        <v>9</v>
      </c>
      <c r="AX32" s="38">
        <f>SUMIFS(Assumptions!AX$66:AX$118,Assumptions!$F$66:$F$118,AssmStaffScenario,Assumptions!$G$66:$G$118,Calculations!$F32)</f>
        <v>9</v>
      </c>
      <c r="AY32" s="38">
        <f>SUMIFS(Assumptions!AY$66:AY$118,Assumptions!$F$66:$F$118,AssmStaffScenario,Assumptions!$G$66:$G$118,Calculations!$F32)</f>
        <v>9</v>
      </c>
      <c r="AZ32" s="38">
        <f>SUMIFS(Assumptions!AZ$66:AZ$118,Assumptions!$F$66:$F$118,AssmStaffScenario,Assumptions!$G$66:$G$118,Calculations!$F32)</f>
        <v>9</v>
      </c>
      <c r="BA32" s="38">
        <f>SUMIFS(Assumptions!BA$66:BA$118,Assumptions!$F$66:$F$118,AssmStaffScenario,Assumptions!$G$66:$G$118,Calculations!$F32)</f>
        <v>9</v>
      </c>
      <c r="BB32" s="38">
        <f>SUMIFS(Assumptions!BB$66:BB$118,Assumptions!$F$66:$F$118,AssmStaffScenario,Assumptions!$G$66:$G$118,Calculations!$F32)</f>
        <v>9</v>
      </c>
      <c r="BC32" s="38">
        <f>SUMIFS(Assumptions!BC$66:BC$118,Assumptions!$F$66:$F$118,AssmStaffScenario,Assumptions!$G$66:$G$118,Calculations!$F32)</f>
        <v>9</v>
      </c>
      <c r="BD32" s="38">
        <f>SUMIFS(Assumptions!BD$66:BD$118,Assumptions!$F$66:$F$118,AssmStaffScenario,Assumptions!$G$66:$G$118,Calculations!$F32)</f>
        <v>9</v>
      </c>
      <c r="BE32" s="38">
        <f>SUMIFS(Assumptions!BE$66:BE$118,Assumptions!$F$66:$F$118,AssmStaffScenario,Assumptions!$G$66:$G$118,Calculations!$F32)</f>
        <v>9</v>
      </c>
      <c r="BF32" s="38">
        <f>SUMIFS(Assumptions!BF$66:BF$118,Assumptions!$F$66:$F$118,AssmStaffScenario,Assumptions!$G$66:$G$118,Calculations!$F32)</f>
        <v>9</v>
      </c>
      <c r="BG32" s="38">
        <f>SUMIFS(Assumptions!BG$66:BG$118,Assumptions!$F$66:$F$118,AssmStaffScenario,Assumptions!$G$66:$G$118,Calculations!$F32)</f>
        <v>9</v>
      </c>
      <c r="BH32" s="38">
        <f>SUMIFS(Assumptions!BH$66:BH$118,Assumptions!$F$66:$F$118,AssmStaffScenario,Assumptions!$G$66:$G$118,Calculations!$F32)</f>
        <v>9</v>
      </c>
      <c r="BI32" s="38">
        <f>SUMIFS(Assumptions!BI$66:BI$118,Assumptions!$F$66:$F$118,AssmStaffScenario,Assumptions!$G$66:$G$118,Calculations!$F32)</f>
        <v>9</v>
      </c>
      <c r="BJ32" s="38">
        <f>SUMIFS(Assumptions!BJ$66:BJ$118,Assumptions!$F$66:$F$118,AssmStaffScenario,Assumptions!$G$66:$G$118,Calculations!$F32)</f>
        <v>9</v>
      </c>
      <c r="BK32" s="38">
        <f>SUMIFS(Assumptions!BK$66:BK$118,Assumptions!$F$66:$F$118,AssmStaffScenario,Assumptions!$G$66:$G$118,Calculations!$F32)</f>
        <v>9</v>
      </c>
      <c r="BL32" s="38">
        <f>SUMIFS(Assumptions!BL$66:BL$118,Assumptions!$F$66:$F$118,AssmStaffScenario,Assumptions!$G$66:$G$118,Calculations!$F32)</f>
        <v>9</v>
      </c>
      <c r="BM32" s="38">
        <f>SUMIFS(Assumptions!BM$66:BM$118,Assumptions!$F$66:$F$118,AssmStaffScenario,Assumptions!$G$66:$G$118,Calculations!$F32)</f>
        <v>9</v>
      </c>
      <c r="BN32" s="38">
        <f>SUMIFS(Assumptions!BN$66:BN$118,Assumptions!$F$66:$F$118,AssmStaffScenario,Assumptions!$G$66:$G$118,Calculations!$F32)</f>
        <v>9</v>
      </c>
      <c r="BO32" s="38">
        <f>SUMIFS(Assumptions!BO$66:BO$118,Assumptions!$F$66:$F$118,AssmStaffScenario,Assumptions!$G$66:$G$118,Calculations!$F32)</f>
        <v>9</v>
      </c>
      <c r="BP32" s="38">
        <f>SUMIFS(Assumptions!BP$66:BP$118,Assumptions!$F$66:$F$118,AssmStaffScenario,Assumptions!$G$66:$G$118,Calculations!$F32)</f>
        <v>9</v>
      </c>
    </row>
    <row r="33" spans="1:68" s="30" customFormat="1" ht="15" x14ac:dyDescent="0.25"/>
    <row r="34" spans="1:68" s="30" customFormat="1" ht="15" x14ac:dyDescent="0.25">
      <c r="D34" s="31" t="s">
        <v>88</v>
      </c>
      <c r="I34" s="37">
        <f>SUMPRODUCT(I27:I32,$H$27:$H$32)/12</f>
        <v>5000</v>
      </c>
      <c r="J34" s="37">
        <f t="shared" ref="J34:BP34" si="5">SUMPRODUCT(J27:J32,$H$27:$H$32)/12</f>
        <v>15000</v>
      </c>
      <c r="K34" s="37">
        <f t="shared" si="5"/>
        <v>42500</v>
      </c>
      <c r="L34" s="37">
        <f t="shared" si="5"/>
        <v>58333.333333333336</v>
      </c>
      <c r="M34" s="37">
        <f t="shared" si="5"/>
        <v>65833.333333333328</v>
      </c>
      <c r="N34" s="37">
        <f t="shared" si="5"/>
        <v>82500</v>
      </c>
      <c r="O34" s="37">
        <f t="shared" si="5"/>
        <v>105000</v>
      </c>
      <c r="P34" s="37">
        <f t="shared" si="5"/>
        <v>105000</v>
      </c>
      <c r="Q34" s="37">
        <f t="shared" si="5"/>
        <v>120833.33333333333</v>
      </c>
      <c r="R34" s="37">
        <f t="shared" si="5"/>
        <v>145000</v>
      </c>
      <c r="S34" s="37">
        <f t="shared" si="5"/>
        <v>160000</v>
      </c>
      <c r="T34" s="37">
        <f t="shared" si="5"/>
        <v>175833.33333333334</v>
      </c>
      <c r="U34" s="37">
        <f t="shared" si="5"/>
        <v>191666.66666666666</v>
      </c>
      <c r="V34" s="37">
        <f t="shared" si="5"/>
        <v>215833.33333333334</v>
      </c>
      <c r="W34" s="37">
        <f t="shared" si="5"/>
        <v>231666.66666666666</v>
      </c>
      <c r="X34" s="37">
        <f t="shared" si="5"/>
        <v>247500</v>
      </c>
      <c r="Y34" s="37">
        <f t="shared" si="5"/>
        <v>271666.66666666669</v>
      </c>
      <c r="Z34" s="37">
        <f t="shared" si="5"/>
        <v>287500</v>
      </c>
      <c r="AA34" s="37">
        <f t="shared" si="5"/>
        <v>303333.33333333331</v>
      </c>
      <c r="AB34" s="37">
        <f t="shared" si="5"/>
        <v>319166.66666666669</v>
      </c>
      <c r="AC34" s="37">
        <f t="shared" si="5"/>
        <v>343333.33333333331</v>
      </c>
      <c r="AD34" s="37">
        <f t="shared" si="5"/>
        <v>359166.66666666669</v>
      </c>
      <c r="AE34" s="37">
        <f t="shared" si="5"/>
        <v>375000</v>
      </c>
      <c r="AF34" s="37">
        <f t="shared" si="5"/>
        <v>397500</v>
      </c>
      <c r="AG34" s="37">
        <f t="shared" si="5"/>
        <v>413333.33333333331</v>
      </c>
      <c r="AH34" s="37">
        <f t="shared" si="5"/>
        <v>437500</v>
      </c>
      <c r="AI34" s="37">
        <f t="shared" si="5"/>
        <v>453333.33333333331</v>
      </c>
      <c r="AJ34" s="37">
        <f t="shared" si="5"/>
        <v>469166.66666666669</v>
      </c>
      <c r="AK34" s="37">
        <f t="shared" si="5"/>
        <v>485000</v>
      </c>
      <c r="AL34" s="37">
        <f t="shared" si="5"/>
        <v>509166.66666666669</v>
      </c>
      <c r="AM34" s="37">
        <f t="shared" si="5"/>
        <v>525000</v>
      </c>
      <c r="AN34" s="37">
        <f t="shared" si="5"/>
        <v>540833.33333333337</v>
      </c>
      <c r="AO34" s="37">
        <f t="shared" si="5"/>
        <v>565000</v>
      </c>
      <c r="AP34" s="37">
        <f t="shared" si="5"/>
        <v>580833.33333333337</v>
      </c>
      <c r="AQ34" s="37">
        <f t="shared" si="5"/>
        <v>605000</v>
      </c>
      <c r="AR34" s="37">
        <f t="shared" si="5"/>
        <v>620833.33333333337</v>
      </c>
      <c r="AS34" s="37">
        <f t="shared" si="5"/>
        <v>620833.33333333337</v>
      </c>
      <c r="AT34" s="37">
        <f t="shared" si="5"/>
        <v>620833.33333333337</v>
      </c>
      <c r="AU34" s="37">
        <f t="shared" si="5"/>
        <v>620833.33333333337</v>
      </c>
      <c r="AV34" s="37">
        <f t="shared" si="5"/>
        <v>620833.33333333337</v>
      </c>
      <c r="AW34" s="37">
        <f t="shared" si="5"/>
        <v>620833.33333333337</v>
      </c>
      <c r="AX34" s="37">
        <f t="shared" si="5"/>
        <v>620833.33333333337</v>
      </c>
      <c r="AY34" s="37">
        <f t="shared" si="5"/>
        <v>620833.33333333337</v>
      </c>
      <c r="AZ34" s="37">
        <f t="shared" si="5"/>
        <v>620833.33333333337</v>
      </c>
      <c r="BA34" s="37">
        <f t="shared" si="5"/>
        <v>620833.33333333337</v>
      </c>
      <c r="BB34" s="37">
        <f t="shared" si="5"/>
        <v>620833.33333333337</v>
      </c>
      <c r="BC34" s="37">
        <f t="shared" si="5"/>
        <v>620833.33333333337</v>
      </c>
      <c r="BD34" s="37">
        <f t="shared" si="5"/>
        <v>620833.33333333337</v>
      </c>
      <c r="BE34" s="37">
        <f t="shared" si="5"/>
        <v>620833.33333333337</v>
      </c>
      <c r="BF34" s="37">
        <f t="shared" si="5"/>
        <v>620833.33333333337</v>
      </c>
      <c r="BG34" s="37">
        <f t="shared" si="5"/>
        <v>620833.33333333337</v>
      </c>
      <c r="BH34" s="37">
        <f t="shared" si="5"/>
        <v>620833.33333333337</v>
      </c>
      <c r="BI34" s="37">
        <f t="shared" si="5"/>
        <v>620833.33333333337</v>
      </c>
      <c r="BJ34" s="37">
        <f t="shared" si="5"/>
        <v>620833.33333333337</v>
      </c>
      <c r="BK34" s="37">
        <f t="shared" si="5"/>
        <v>620833.33333333337</v>
      </c>
      <c r="BL34" s="37">
        <f t="shared" si="5"/>
        <v>620833.33333333337</v>
      </c>
      <c r="BM34" s="37">
        <f t="shared" si="5"/>
        <v>620833.33333333337</v>
      </c>
      <c r="BN34" s="37">
        <f t="shared" si="5"/>
        <v>620833.33333333337</v>
      </c>
      <c r="BO34" s="37">
        <f t="shared" si="5"/>
        <v>620833.33333333337</v>
      </c>
      <c r="BP34" s="37">
        <f t="shared" si="5"/>
        <v>620833.33333333337</v>
      </c>
    </row>
    <row r="35" spans="1:68" s="30" customFormat="1" ht="15" x14ac:dyDescent="0.25"/>
    <row r="36" spans="1:68" s="30" customFormat="1" ht="15" x14ac:dyDescent="0.25">
      <c r="D36" s="31" t="s">
        <v>89</v>
      </c>
    </row>
    <row r="37" spans="1:68" s="30" customFormat="1" ht="15" x14ac:dyDescent="0.25">
      <c r="E37" s="30" t="s">
        <v>90</v>
      </c>
    </row>
    <row r="38" spans="1:68" s="30" customFormat="1" ht="15" x14ac:dyDescent="0.25">
      <c r="F38" s="30" t="s">
        <v>91</v>
      </c>
      <c r="H38" s="27" t="s">
        <v>92</v>
      </c>
      <c r="I38" s="34">
        <f>SUMIFS(INDEX(tblAnnualAssm[],,MATCH(TEXT(Calculations!I$8,"0"),tblAnnualAssm[#Headers],0)),tblAnnualAssm[Case],AssmBusinessCase,tblAnnualAssm[Input Type],$H38)</f>
        <v>0.3</v>
      </c>
      <c r="J38" s="34">
        <f>SUMIFS(INDEX(tblAnnualAssm[],,MATCH(TEXT(Calculations!J$8,"0"),tblAnnualAssm[#Headers],0)),tblAnnualAssm[Case],AssmBusinessCase,tblAnnualAssm[Input Type],$H38)</f>
        <v>0.3</v>
      </c>
      <c r="K38" s="34">
        <f>SUMIFS(INDEX(tblAnnualAssm[],,MATCH(TEXT(Calculations!K$8,"0"),tblAnnualAssm[#Headers],0)),tblAnnualAssm[Case],AssmBusinessCase,tblAnnualAssm[Input Type],$H38)</f>
        <v>0.3</v>
      </c>
      <c r="L38" s="34">
        <f>SUMIFS(INDEX(tblAnnualAssm[],,MATCH(TEXT(Calculations!L$8,"0"),tblAnnualAssm[#Headers],0)),tblAnnualAssm[Case],AssmBusinessCase,tblAnnualAssm[Input Type],$H38)</f>
        <v>0.3</v>
      </c>
      <c r="M38" s="34">
        <f>SUMIFS(INDEX(tblAnnualAssm[],,MATCH(TEXT(Calculations!M$8,"0"),tblAnnualAssm[#Headers],0)),tblAnnualAssm[Case],AssmBusinessCase,tblAnnualAssm[Input Type],$H38)</f>
        <v>0.3</v>
      </c>
      <c r="N38" s="34">
        <f>SUMIFS(INDEX(tblAnnualAssm[],,MATCH(TEXT(Calculations!N$8,"0"),tblAnnualAssm[#Headers],0)),tblAnnualAssm[Case],AssmBusinessCase,tblAnnualAssm[Input Type],$H38)</f>
        <v>0.3</v>
      </c>
      <c r="O38" s="34">
        <f>SUMIFS(INDEX(tblAnnualAssm[],,MATCH(TEXT(Calculations!O$8,"0"),tblAnnualAssm[#Headers],0)),tblAnnualAssm[Case],AssmBusinessCase,tblAnnualAssm[Input Type],$H38)</f>
        <v>0.3</v>
      </c>
      <c r="P38" s="34">
        <f>SUMIFS(INDEX(tblAnnualAssm[],,MATCH(TEXT(Calculations!P$8,"0"),tblAnnualAssm[#Headers],0)),tblAnnualAssm[Case],AssmBusinessCase,tblAnnualAssm[Input Type],$H38)</f>
        <v>0.3</v>
      </c>
      <c r="Q38" s="34">
        <f>SUMIFS(INDEX(tblAnnualAssm[],,MATCH(TEXT(Calculations!Q$8,"0"),tblAnnualAssm[#Headers],0)),tblAnnualAssm[Case],AssmBusinessCase,tblAnnualAssm[Input Type],$H38)</f>
        <v>0.3</v>
      </c>
      <c r="R38" s="34">
        <f>SUMIFS(INDEX(tblAnnualAssm[],,MATCH(TEXT(Calculations!R$8,"0"),tblAnnualAssm[#Headers],0)),tblAnnualAssm[Case],AssmBusinessCase,tblAnnualAssm[Input Type],$H38)</f>
        <v>0.3</v>
      </c>
      <c r="S38" s="34">
        <f>SUMIFS(INDEX(tblAnnualAssm[],,MATCH(TEXT(Calculations!S$8,"0"),tblAnnualAssm[#Headers],0)),tblAnnualAssm[Case],AssmBusinessCase,tblAnnualAssm[Input Type],$H38)</f>
        <v>0.3</v>
      </c>
      <c r="T38" s="34">
        <f>SUMIFS(INDEX(tblAnnualAssm[],,MATCH(TEXT(Calculations!T$8,"0"),tblAnnualAssm[#Headers],0)),tblAnnualAssm[Case],AssmBusinessCase,tblAnnualAssm[Input Type],$H38)</f>
        <v>0.3</v>
      </c>
      <c r="U38" s="34">
        <f>SUMIFS(INDEX(tblAnnualAssm[],,MATCH(TEXT(Calculations!U$8,"0"),tblAnnualAssm[#Headers],0)),tblAnnualAssm[Case],AssmBusinessCase,tblAnnualAssm[Input Type],$H38)</f>
        <v>0.3</v>
      </c>
      <c r="V38" s="34">
        <f>SUMIFS(INDEX(tblAnnualAssm[],,MATCH(TEXT(Calculations!V$8,"0"),tblAnnualAssm[#Headers],0)),tblAnnualAssm[Case],AssmBusinessCase,tblAnnualAssm[Input Type],$H38)</f>
        <v>0.3</v>
      </c>
      <c r="W38" s="34">
        <f>SUMIFS(INDEX(tblAnnualAssm[],,MATCH(TEXT(Calculations!W$8,"0"),tblAnnualAssm[#Headers],0)),tblAnnualAssm[Case],AssmBusinessCase,tblAnnualAssm[Input Type],$H38)</f>
        <v>0.3</v>
      </c>
      <c r="X38" s="34">
        <f>SUMIFS(INDEX(tblAnnualAssm[],,MATCH(TEXT(Calculations!X$8,"0"),tblAnnualAssm[#Headers],0)),tblAnnualAssm[Case],AssmBusinessCase,tblAnnualAssm[Input Type],$H38)</f>
        <v>0.3</v>
      </c>
      <c r="Y38" s="34">
        <f>SUMIFS(INDEX(tblAnnualAssm[],,MATCH(TEXT(Calculations!Y$8,"0"),tblAnnualAssm[#Headers],0)),tblAnnualAssm[Case],AssmBusinessCase,tblAnnualAssm[Input Type],$H38)</f>
        <v>0.3</v>
      </c>
      <c r="Z38" s="34">
        <f>SUMIFS(INDEX(tblAnnualAssm[],,MATCH(TEXT(Calculations!Z$8,"0"),tblAnnualAssm[#Headers],0)),tblAnnualAssm[Case],AssmBusinessCase,tblAnnualAssm[Input Type],$H38)</f>
        <v>0.3</v>
      </c>
      <c r="AA38" s="34">
        <f>SUMIFS(INDEX(tblAnnualAssm[],,MATCH(TEXT(Calculations!AA$8,"0"),tblAnnualAssm[#Headers],0)),tblAnnualAssm[Case],AssmBusinessCase,tblAnnualAssm[Input Type],$H38)</f>
        <v>0.3</v>
      </c>
      <c r="AB38" s="34">
        <f>SUMIFS(INDEX(tblAnnualAssm[],,MATCH(TEXT(Calculations!AB$8,"0"),tblAnnualAssm[#Headers],0)),tblAnnualAssm[Case],AssmBusinessCase,tblAnnualAssm[Input Type],$H38)</f>
        <v>0.3</v>
      </c>
      <c r="AC38" s="34">
        <f>SUMIFS(INDEX(tblAnnualAssm[],,MATCH(TEXT(Calculations!AC$8,"0"),tblAnnualAssm[#Headers],0)),tblAnnualAssm[Case],AssmBusinessCase,tblAnnualAssm[Input Type],$H38)</f>
        <v>0.3</v>
      </c>
      <c r="AD38" s="34">
        <f>SUMIFS(INDEX(tblAnnualAssm[],,MATCH(TEXT(Calculations!AD$8,"0"),tblAnnualAssm[#Headers],0)),tblAnnualAssm[Case],AssmBusinessCase,tblAnnualAssm[Input Type],$H38)</f>
        <v>0.3</v>
      </c>
      <c r="AE38" s="34">
        <f>SUMIFS(INDEX(tblAnnualAssm[],,MATCH(TEXT(Calculations!AE$8,"0"),tblAnnualAssm[#Headers],0)),tblAnnualAssm[Case],AssmBusinessCase,tblAnnualAssm[Input Type],$H38)</f>
        <v>0.3</v>
      </c>
      <c r="AF38" s="34">
        <f>SUMIFS(INDEX(tblAnnualAssm[],,MATCH(TEXT(Calculations!AF$8,"0"),tblAnnualAssm[#Headers],0)),tblAnnualAssm[Case],AssmBusinessCase,tblAnnualAssm[Input Type],$H38)</f>
        <v>0.3</v>
      </c>
      <c r="AG38" s="34">
        <f>SUMIFS(INDEX(tblAnnualAssm[],,MATCH(TEXT(Calculations!AG$8,"0"),tblAnnualAssm[#Headers],0)),tblAnnualAssm[Case],AssmBusinessCase,tblAnnualAssm[Input Type],$H38)</f>
        <v>0.1</v>
      </c>
      <c r="AH38" s="34">
        <f>SUMIFS(INDEX(tblAnnualAssm[],,MATCH(TEXT(Calculations!AH$8,"0"),tblAnnualAssm[#Headers],0)),tblAnnualAssm[Case],AssmBusinessCase,tblAnnualAssm[Input Type],$H38)</f>
        <v>0.1</v>
      </c>
      <c r="AI38" s="34">
        <f>SUMIFS(INDEX(tblAnnualAssm[],,MATCH(TEXT(Calculations!AI$8,"0"),tblAnnualAssm[#Headers],0)),tblAnnualAssm[Case],AssmBusinessCase,tblAnnualAssm[Input Type],$H38)</f>
        <v>0.1</v>
      </c>
      <c r="AJ38" s="34">
        <f>SUMIFS(INDEX(tblAnnualAssm[],,MATCH(TEXT(Calculations!AJ$8,"0"),tblAnnualAssm[#Headers],0)),tblAnnualAssm[Case],AssmBusinessCase,tblAnnualAssm[Input Type],$H38)</f>
        <v>0.1</v>
      </c>
      <c r="AK38" s="34">
        <f>SUMIFS(INDEX(tblAnnualAssm[],,MATCH(TEXT(Calculations!AK$8,"0"),tblAnnualAssm[#Headers],0)),tblAnnualAssm[Case],AssmBusinessCase,tblAnnualAssm[Input Type],$H38)</f>
        <v>0.1</v>
      </c>
      <c r="AL38" s="34">
        <f>SUMIFS(INDEX(tblAnnualAssm[],,MATCH(TEXT(Calculations!AL$8,"0"),tblAnnualAssm[#Headers],0)),tblAnnualAssm[Case],AssmBusinessCase,tblAnnualAssm[Input Type],$H38)</f>
        <v>0.1</v>
      </c>
      <c r="AM38" s="34">
        <f>SUMIFS(INDEX(tblAnnualAssm[],,MATCH(TEXT(Calculations!AM$8,"0"),tblAnnualAssm[#Headers],0)),tblAnnualAssm[Case],AssmBusinessCase,tblAnnualAssm[Input Type],$H38)</f>
        <v>0.1</v>
      </c>
      <c r="AN38" s="34">
        <f>SUMIFS(INDEX(tblAnnualAssm[],,MATCH(TEXT(Calculations!AN$8,"0"),tblAnnualAssm[#Headers],0)),tblAnnualAssm[Case],AssmBusinessCase,tblAnnualAssm[Input Type],$H38)</f>
        <v>0.1</v>
      </c>
      <c r="AO38" s="34">
        <f>SUMIFS(INDEX(tblAnnualAssm[],,MATCH(TEXT(Calculations!AO$8,"0"),tblAnnualAssm[#Headers],0)),tblAnnualAssm[Case],AssmBusinessCase,tblAnnualAssm[Input Type],$H38)</f>
        <v>0.1</v>
      </c>
      <c r="AP38" s="34">
        <f>SUMIFS(INDEX(tblAnnualAssm[],,MATCH(TEXT(Calculations!AP$8,"0"),tblAnnualAssm[#Headers],0)),tblAnnualAssm[Case],AssmBusinessCase,tblAnnualAssm[Input Type],$H38)</f>
        <v>0.1</v>
      </c>
      <c r="AQ38" s="34">
        <f>SUMIFS(INDEX(tblAnnualAssm[],,MATCH(TEXT(Calculations!AQ$8,"0"),tblAnnualAssm[#Headers],0)),tblAnnualAssm[Case],AssmBusinessCase,tblAnnualAssm[Input Type],$H38)</f>
        <v>0.1</v>
      </c>
      <c r="AR38" s="34">
        <f>SUMIFS(INDEX(tblAnnualAssm[],,MATCH(TEXT(Calculations!AR$8,"0"),tblAnnualAssm[#Headers],0)),tblAnnualAssm[Case],AssmBusinessCase,tblAnnualAssm[Input Type],$H38)</f>
        <v>0.1</v>
      </c>
      <c r="AS38" s="34">
        <f>SUMIFS(INDEX(tblAnnualAssm[],,MATCH(TEXT(Calculations!AS$8,"0"),tblAnnualAssm[#Headers],0)),tblAnnualAssm[Case],AssmBusinessCase,tblAnnualAssm[Input Type],$H38)</f>
        <v>0.1</v>
      </c>
      <c r="AT38" s="34">
        <f>SUMIFS(INDEX(tblAnnualAssm[],,MATCH(TEXT(Calculations!AT$8,"0"),tblAnnualAssm[#Headers],0)),tblAnnualAssm[Case],AssmBusinessCase,tblAnnualAssm[Input Type],$H38)</f>
        <v>0.1</v>
      </c>
      <c r="AU38" s="34">
        <f>SUMIFS(INDEX(tblAnnualAssm[],,MATCH(TEXT(Calculations!AU$8,"0"),tblAnnualAssm[#Headers],0)),tblAnnualAssm[Case],AssmBusinessCase,tblAnnualAssm[Input Type],$H38)</f>
        <v>0.1</v>
      </c>
      <c r="AV38" s="34">
        <f>SUMIFS(INDEX(tblAnnualAssm[],,MATCH(TEXT(Calculations!AV$8,"0"),tblAnnualAssm[#Headers],0)),tblAnnualAssm[Case],AssmBusinessCase,tblAnnualAssm[Input Type],$H38)</f>
        <v>0.1</v>
      </c>
      <c r="AW38" s="34">
        <f>SUMIFS(INDEX(tblAnnualAssm[],,MATCH(TEXT(Calculations!AW$8,"0"),tblAnnualAssm[#Headers],0)),tblAnnualAssm[Case],AssmBusinessCase,tblAnnualAssm[Input Type],$H38)</f>
        <v>0.1</v>
      </c>
      <c r="AX38" s="34">
        <f>SUMIFS(INDEX(tblAnnualAssm[],,MATCH(TEXT(Calculations!AX$8,"0"),tblAnnualAssm[#Headers],0)),tblAnnualAssm[Case],AssmBusinessCase,tblAnnualAssm[Input Type],$H38)</f>
        <v>0.1</v>
      </c>
      <c r="AY38" s="34">
        <f>SUMIFS(INDEX(tblAnnualAssm[],,MATCH(TEXT(Calculations!AY$8,"0"),tblAnnualAssm[#Headers],0)),tblAnnualAssm[Case],AssmBusinessCase,tblAnnualAssm[Input Type],$H38)</f>
        <v>0.1</v>
      </c>
      <c r="AZ38" s="34">
        <f>SUMIFS(INDEX(tblAnnualAssm[],,MATCH(TEXT(Calculations!AZ$8,"0"),tblAnnualAssm[#Headers],0)),tblAnnualAssm[Case],AssmBusinessCase,tblAnnualAssm[Input Type],$H38)</f>
        <v>0.1</v>
      </c>
      <c r="BA38" s="34">
        <f>SUMIFS(INDEX(tblAnnualAssm[],,MATCH(TEXT(Calculations!BA$8,"0"),tblAnnualAssm[#Headers],0)),tblAnnualAssm[Case],AssmBusinessCase,tblAnnualAssm[Input Type],$H38)</f>
        <v>0.1</v>
      </c>
      <c r="BB38" s="34">
        <f>SUMIFS(INDEX(tblAnnualAssm[],,MATCH(TEXT(Calculations!BB$8,"0"),tblAnnualAssm[#Headers],0)),tblAnnualAssm[Case],AssmBusinessCase,tblAnnualAssm[Input Type],$H38)</f>
        <v>0.1</v>
      </c>
      <c r="BC38" s="34">
        <f>SUMIFS(INDEX(tblAnnualAssm[],,MATCH(TEXT(Calculations!BC$8,"0"),tblAnnualAssm[#Headers],0)),tblAnnualAssm[Case],AssmBusinessCase,tblAnnualAssm[Input Type],$H38)</f>
        <v>0.1</v>
      </c>
      <c r="BD38" s="34">
        <f>SUMIFS(INDEX(tblAnnualAssm[],,MATCH(TEXT(Calculations!BD$8,"0"),tblAnnualAssm[#Headers],0)),tblAnnualAssm[Case],AssmBusinessCase,tblAnnualAssm[Input Type],$H38)</f>
        <v>0.1</v>
      </c>
      <c r="BE38" s="34">
        <f>SUMIFS(INDEX(tblAnnualAssm[],,MATCH(TEXT(Calculations!BE$8,"0"),tblAnnualAssm[#Headers],0)),tblAnnualAssm[Case],AssmBusinessCase,tblAnnualAssm[Input Type],$H38)</f>
        <v>0.1</v>
      </c>
      <c r="BF38" s="34">
        <f>SUMIFS(INDEX(tblAnnualAssm[],,MATCH(TEXT(Calculations!BF$8,"0"),tblAnnualAssm[#Headers],0)),tblAnnualAssm[Case],AssmBusinessCase,tblAnnualAssm[Input Type],$H38)</f>
        <v>0.1</v>
      </c>
      <c r="BG38" s="34">
        <f>SUMIFS(INDEX(tblAnnualAssm[],,MATCH(TEXT(Calculations!BG$8,"0"),tblAnnualAssm[#Headers],0)),tblAnnualAssm[Case],AssmBusinessCase,tblAnnualAssm[Input Type],$H38)</f>
        <v>0.1</v>
      </c>
      <c r="BH38" s="34">
        <f>SUMIFS(INDEX(tblAnnualAssm[],,MATCH(TEXT(Calculations!BH$8,"0"),tblAnnualAssm[#Headers],0)),tblAnnualAssm[Case],AssmBusinessCase,tblAnnualAssm[Input Type],$H38)</f>
        <v>0.1</v>
      </c>
      <c r="BI38" s="34">
        <f>SUMIFS(INDEX(tblAnnualAssm[],,MATCH(TEXT(Calculations!BI$8,"0"),tblAnnualAssm[#Headers],0)),tblAnnualAssm[Case],AssmBusinessCase,tblAnnualAssm[Input Type],$H38)</f>
        <v>0.1</v>
      </c>
      <c r="BJ38" s="34">
        <f>SUMIFS(INDEX(tblAnnualAssm[],,MATCH(TEXT(Calculations!BJ$8,"0"),tblAnnualAssm[#Headers],0)),tblAnnualAssm[Case],AssmBusinessCase,tblAnnualAssm[Input Type],$H38)</f>
        <v>0.1</v>
      </c>
      <c r="BK38" s="34">
        <f>SUMIFS(INDEX(tblAnnualAssm[],,MATCH(TEXT(Calculations!BK$8,"0"),tblAnnualAssm[#Headers],0)),tblAnnualAssm[Case],AssmBusinessCase,tblAnnualAssm[Input Type],$H38)</f>
        <v>0.1</v>
      </c>
      <c r="BL38" s="34">
        <f>SUMIFS(INDEX(tblAnnualAssm[],,MATCH(TEXT(Calculations!BL$8,"0"),tblAnnualAssm[#Headers],0)),tblAnnualAssm[Case],AssmBusinessCase,tblAnnualAssm[Input Type],$H38)</f>
        <v>0.1</v>
      </c>
      <c r="BM38" s="34">
        <f>SUMIFS(INDEX(tblAnnualAssm[],,MATCH(TEXT(Calculations!BM$8,"0"),tblAnnualAssm[#Headers],0)),tblAnnualAssm[Case],AssmBusinessCase,tblAnnualAssm[Input Type],$H38)</f>
        <v>0.1</v>
      </c>
      <c r="BN38" s="34">
        <f>SUMIFS(INDEX(tblAnnualAssm[],,MATCH(TEXT(Calculations!BN$8,"0"),tblAnnualAssm[#Headers],0)),tblAnnualAssm[Case],AssmBusinessCase,tblAnnualAssm[Input Type],$H38)</f>
        <v>0.1</v>
      </c>
      <c r="BO38" s="34">
        <f>SUMIFS(INDEX(tblAnnualAssm[],,MATCH(TEXT(Calculations!BO$8,"0"),tblAnnualAssm[#Headers],0)),tblAnnualAssm[Case],AssmBusinessCase,tblAnnualAssm[Input Type],$H38)</f>
        <v>0.1</v>
      </c>
      <c r="BP38" s="34">
        <f>SUMIFS(INDEX(tblAnnualAssm[],,MATCH(TEXT(Calculations!BP$8,"0"),tblAnnualAssm[#Headers],0)),tblAnnualAssm[Case],AssmBusinessCase,tblAnnualAssm[Input Type],$H38)</f>
        <v>0.1</v>
      </c>
    </row>
    <row r="39" spans="1:68" s="30" customFormat="1" ht="15" x14ac:dyDescent="0.25">
      <c r="F39" s="30" t="s">
        <v>93</v>
      </c>
      <c r="I39" s="37">
        <f ca="1">I38*I22</f>
        <v>774</v>
      </c>
      <c r="J39" s="37">
        <f t="shared" ref="J39:BP39" ca="1" si="6">J38*J22</f>
        <v>1002</v>
      </c>
      <c r="K39" s="37">
        <f t="shared" ca="1" si="6"/>
        <v>1296</v>
      </c>
      <c r="L39" s="37">
        <f t="shared" ca="1" si="6"/>
        <v>1680</v>
      </c>
      <c r="M39" s="37">
        <f t="shared" ca="1" si="6"/>
        <v>2178</v>
      </c>
      <c r="N39" s="37">
        <f t="shared" ca="1" si="6"/>
        <v>2826</v>
      </c>
      <c r="O39" s="37">
        <f t="shared" ca="1" si="6"/>
        <v>3660</v>
      </c>
      <c r="P39" s="37">
        <f t="shared" ca="1" si="6"/>
        <v>4746</v>
      </c>
      <c r="Q39" s="37">
        <f t="shared" ca="1" si="6"/>
        <v>6156</v>
      </c>
      <c r="R39" s="37">
        <f t="shared" ca="1" si="6"/>
        <v>7986</v>
      </c>
      <c r="S39" s="37">
        <f t="shared" ca="1" si="6"/>
        <v>10356</v>
      </c>
      <c r="T39" s="37">
        <f t="shared" ca="1" si="6"/>
        <v>13434</v>
      </c>
      <c r="U39" s="37">
        <f t="shared" ca="1" si="6"/>
        <v>17442</v>
      </c>
      <c r="V39" s="37">
        <f t="shared" ca="1" si="6"/>
        <v>22644</v>
      </c>
      <c r="W39" s="37">
        <f t="shared" ca="1" si="6"/>
        <v>29400</v>
      </c>
      <c r="X39" s="37">
        <f t="shared" ca="1" si="6"/>
        <v>38172</v>
      </c>
      <c r="Y39" s="37">
        <f t="shared" ca="1" si="6"/>
        <v>49566</v>
      </c>
      <c r="Z39" s="37">
        <f t="shared" ca="1" si="6"/>
        <v>64356</v>
      </c>
      <c r="AA39" s="37">
        <f t="shared" ca="1" si="6"/>
        <v>83562</v>
      </c>
      <c r="AB39" s="37">
        <f t="shared" ca="1" si="6"/>
        <v>108504</v>
      </c>
      <c r="AC39" s="37">
        <f t="shared" ca="1" si="6"/>
        <v>140886</v>
      </c>
      <c r="AD39" s="37">
        <f t="shared" ca="1" si="6"/>
        <v>182934</v>
      </c>
      <c r="AE39" s="37">
        <f t="shared" ca="1" si="6"/>
        <v>237540</v>
      </c>
      <c r="AF39" s="37">
        <f t="shared" ca="1" si="6"/>
        <v>308442</v>
      </c>
      <c r="AG39" s="37">
        <f t="shared" ca="1" si="6"/>
        <v>141175</v>
      </c>
      <c r="AH39" s="37">
        <f t="shared" ca="1" si="6"/>
        <v>155080</v>
      </c>
      <c r="AI39" s="37">
        <f t="shared" ca="1" si="6"/>
        <v>170352.5</v>
      </c>
      <c r="AJ39" s="37">
        <f t="shared" ca="1" si="6"/>
        <v>187130</v>
      </c>
      <c r="AK39" s="37">
        <f t="shared" ca="1" si="6"/>
        <v>205560</v>
      </c>
      <c r="AL39" s="37">
        <f t="shared" ca="1" si="6"/>
        <v>225805</v>
      </c>
      <c r="AM39" s="37">
        <f t="shared" ca="1" si="6"/>
        <v>248045</v>
      </c>
      <c r="AN39" s="37">
        <f t="shared" ca="1" si="6"/>
        <v>272477.5</v>
      </c>
      <c r="AO39" s="37">
        <f t="shared" ca="1" si="6"/>
        <v>299315</v>
      </c>
      <c r="AP39" s="37">
        <f t="shared" ca="1" si="6"/>
        <v>328797.5</v>
      </c>
      <c r="AQ39" s="37">
        <f t="shared" ca="1" si="6"/>
        <v>361182.5</v>
      </c>
      <c r="AR39" s="37">
        <f t="shared" ca="1" si="6"/>
        <v>396757.5</v>
      </c>
      <c r="AS39" s="37">
        <f t="shared" ca="1" si="6"/>
        <v>436035</v>
      </c>
      <c r="AT39" s="37">
        <f t="shared" ca="1" si="6"/>
        <v>479200</v>
      </c>
      <c r="AU39" s="37">
        <f t="shared" ca="1" si="6"/>
        <v>526640</v>
      </c>
      <c r="AV39" s="37">
        <f t="shared" ca="1" si="6"/>
        <v>578777.5</v>
      </c>
      <c r="AW39" s="37">
        <f t="shared" ca="1" si="6"/>
        <v>636075</v>
      </c>
      <c r="AX39" s="37">
        <f t="shared" ca="1" si="6"/>
        <v>699045</v>
      </c>
      <c r="AY39" s="37">
        <f t="shared" ca="1" si="6"/>
        <v>768250</v>
      </c>
      <c r="AZ39" s="37">
        <f t="shared" ca="1" si="6"/>
        <v>844305</v>
      </c>
      <c r="BA39" s="37">
        <f t="shared" ca="1" si="6"/>
        <v>927890</v>
      </c>
      <c r="BB39" s="37">
        <f t="shared" ca="1" si="6"/>
        <v>1019750</v>
      </c>
      <c r="BC39" s="37">
        <f t="shared" ca="1" si="6"/>
        <v>1120705</v>
      </c>
      <c r="BD39" s="37">
        <f t="shared" ca="1" si="6"/>
        <v>1231652.5</v>
      </c>
      <c r="BE39" s="37">
        <f t="shared" ca="1" si="6"/>
        <v>1624302</v>
      </c>
      <c r="BF39" s="37">
        <f t="shared" ca="1" si="6"/>
        <v>1785105</v>
      </c>
      <c r="BG39" s="37">
        <f t="shared" ca="1" si="6"/>
        <v>1961829</v>
      </c>
      <c r="BH39" s="37">
        <f t="shared" ca="1" si="6"/>
        <v>2156049</v>
      </c>
      <c r="BI39" s="37">
        <f t="shared" ca="1" si="6"/>
        <v>2369496</v>
      </c>
      <c r="BJ39" s="37">
        <f t="shared" ca="1" si="6"/>
        <v>2604075</v>
      </c>
      <c r="BK39" s="37">
        <f t="shared" ca="1" si="6"/>
        <v>2861877</v>
      </c>
      <c r="BL39" s="37">
        <f t="shared" ca="1" si="6"/>
        <v>3145203</v>
      </c>
      <c r="BM39" s="37">
        <f t="shared" ca="1" si="6"/>
        <v>3456576</v>
      </c>
      <c r="BN39" s="37">
        <f t="shared" ca="1" si="6"/>
        <v>3798774</v>
      </c>
      <c r="BO39" s="37">
        <f t="shared" ca="1" si="6"/>
        <v>4174851</v>
      </c>
      <c r="BP39" s="37">
        <f t="shared" ca="1" si="6"/>
        <v>4588161</v>
      </c>
    </row>
    <row r="40" spans="1:68" s="30" customFormat="1" ht="15" x14ac:dyDescent="0.25"/>
    <row r="41" spans="1:68" s="30" customFormat="1" ht="15" x14ac:dyDescent="0.25">
      <c r="E41" s="30" t="s">
        <v>94</v>
      </c>
      <c r="I41" s="37">
        <f ca="1">I39</f>
        <v>774</v>
      </c>
      <c r="J41" s="37">
        <f t="shared" ref="J41:BP41" ca="1" si="7">J39</f>
        <v>1002</v>
      </c>
      <c r="K41" s="37">
        <f t="shared" ca="1" si="7"/>
        <v>1296</v>
      </c>
      <c r="L41" s="37">
        <f t="shared" ca="1" si="7"/>
        <v>1680</v>
      </c>
      <c r="M41" s="37">
        <f t="shared" ca="1" si="7"/>
        <v>2178</v>
      </c>
      <c r="N41" s="37">
        <f t="shared" ca="1" si="7"/>
        <v>2826</v>
      </c>
      <c r="O41" s="37">
        <f t="shared" ca="1" si="7"/>
        <v>3660</v>
      </c>
      <c r="P41" s="37">
        <f t="shared" ca="1" si="7"/>
        <v>4746</v>
      </c>
      <c r="Q41" s="37">
        <f t="shared" ca="1" si="7"/>
        <v>6156</v>
      </c>
      <c r="R41" s="37">
        <f t="shared" ca="1" si="7"/>
        <v>7986</v>
      </c>
      <c r="S41" s="37">
        <f t="shared" ca="1" si="7"/>
        <v>10356</v>
      </c>
      <c r="T41" s="37">
        <f t="shared" ca="1" si="7"/>
        <v>13434</v>
      </c>
      <c r="U41" s="37">
        <f t="shared" ca="1" si="7"/>
        <v>17442</v>
      </c>
      <c r="V41" s="37">
        <f t="shared" ca="1" si="7"/>
        <v>22644</v>
      </c>
      <c r="W41" s="37">
        <f t="shared" ca="1" si="7"/>
        <v>29400</v>
      </c>
      <c r="X41" s="37">
        <f t="shared" ca="1" si="7"/>
        <v>38172</v>
      </c>
      <c r="Y41" s="37">
        <f t="shared" ca="1" si="7"/>
        <v>49566</v>
      </c>
      <c r="Z41" s="37">
        <f t="shared" ca="1" si="7"/>
        <v>64356</v>
      </c>
      <c r="AA41" s="37">
        <f t="shared" ca="1" si="7"/>
        <v>83562</v>
      </c>
      <c r="AB41" s="37">
        <f t="shared" ca="1" si="7"/>
        <v>108504</v>
      </c>
      <c r="AC41" s="37">
        <f t="shared" ca="1" si="7"/>
        <v>140886</v>
      </c>
      <c r="AD41" s="37">
        <f t="shared" ca="1" si="7"/>
        <v>182934</v>
      </c>
      <c r="AE41" s="37">
        <f t="shared" ca="1" si="7"/>
        <v>237540</v>
      </c>
      <c r="AF41" s="37">
        <f t="shared" ca="1" si="7"/>
        <v>308442</v>
      </c>
      <c r="AG41" s="37">
        <f t="shared" ca="1" si="7"/>
        <v>141175</v>
      </c>
      <c r="AH41" s="37">
        <f t="shared" ca="1" si="7"/>
        <v>155080</v>
      </c>
      <c r="AI41" s="37">
        <f t="shared" ca="1" si="7"/>
        <v>170352.5</v>
      </c>
      <c r="AJ41" s="37">
        <f t="shared" ca="1" si="7"/>
        <v>187130</v>
      </c>
      <c r="AK41" s="37">
        <f t="shared" ca="1" si="7"/>
        <v>205560</v>
      </c>
      <c r="AL41" s="37">
        <f t="shared" ca="1" si="7"/>
        <v>225805</v>
      </c>
      <c r="AM41" s="37">
        <f t="shared" ca="1" si="7"/>
        <v>248045</v>
      </c>
      <c r="AN41" s="37">
        <f t="shared" ca="1" si="7"/>
        <v>272477.5</v>
      </c>
      <c r="AO41" s="37">
        <f t="shared" ca="1" si="7"/>
        <v>299315</v>
      </c>
      <c r="AP41" s="37">
        <f t="shared" ca="1" si="7"/>
        <v>328797.5</v>
      </c>
      <c r="AQ41" s="37">
        <f t="shared" ca="1" si="7"/>
        <v>361182.5</v>
      </c>
      <c r="AR41" s="37">
        <f t="shared" ca="1" si="7"/>
        <v>396757.5</v>
      </c>
      <c r="AS41" s="37">
        <f t="shared" ca="1" si="7"/>
        <v>436035</v>
      </c>
      <c r="AT41" s="37">
        <f t="shared" ca="1" si="7"/>
        <v>479200</v>
      </c>
      <c r="AU41" s="37">
        <f t="shared" ca="1" si="7"/>
        <v>526640</v>
      </c>
      <c r="AV41" s="37">
        <f t="shared" ca="1" si="7"/>
        <v>578777.5</v>
      </c>
      <c r="AW41" s="37">
        <f t="shared" ca="1" si="7"/>
        <v>636075</v>
      </c>
      <c r="AX41" s="37">
        <f t="shared" ca="1" si="7"/>
        <v>699045</v>
      </c>
      <c r="AY41" s="37">
        <f t="shared" ca="1" si="7"/>
        <v>768250</v>
      </c>
      <c r="AZ41" s="37">
        <f t="shared" ca="1" si="7"/>
        <v>844305</v>
      </c>
      <c r="BA41" s="37">
        <f t="shared" ca="1" si="7"/>
        <v>927890</v>
      </c>
      <c r="BB41" s="37">
        <f t="shared" ca="1" si="7"/>
        <v>1019750</v>
      </c>
      <c r="BC41" s="37">
        <f t="shared" ca="1" si="7"/>
        <v>1120705</v>
      </c>
      <c r="BD41" s="37">
        <f t="shared" ca="1" si="7"/>
        <v>1231652.5</v>
      </c>
      <c r="BE41" s="37">
        <f t="shared" ca="1" si="7"/>
        <v>1624302</v>
      </c>
      <c r="BF41" s="37">
        <f t="shared" ca="1" si="7"/>
        <v>1785105</v>
      </c>
      <c r="BG41" s="37">
        <f t="shared" ca="1" si="7"/>
        <v>1961829</v>
      </c>
      <c r="BH41" s="37">
        <f t="shared" ca="1" si="7"/>
        <v>2156049</v>
      </c>
      <c r="BI41" s="37">
        <f t="shared" ca="1" si="7"/>
        <v>2369496</v>
      </c>
      <c r="BJ41" s="37">
        <f t="shared" ca="1" si="7"/>
        <v>2604075</v>
      </c>
      <c r="BK41" s="37">
        <f t="shared" ca="1" si="7"/>
        <v>2861877</v>
      </c>
      <c r="BL41" s="37">
        <f t="shared" ca="1" si="7"/>
        <v>3145203</v>
      </c>
      <c r="BM41" s="37">
        <f t="shared" ca="1" si="7"/>
        <v>3456576</v>
      </c>
      <c r="BN41" s="37">
        <f t="shared" ca="1" si="7"/>
        <v>3798774</v>
      </c>
      <c r="BO41" s="37">
        <f t="shared" ca="1" si="7"/>
        <v>4174851</v>
      </c>
      <c r="BP41" s="37">
        <f t="shared" ca="1" si="7"/>
        <v>4588161</v>
      </c>
    </row>
    <row r="42" spans="1:68" s="30" customFormat="1" ht="15" x14ac:dyDescent="0.25"/>
    <row r="43" spans="1:68" s="30" customFormat="1" ht="15" x14ac:dyDescent="0.25">
      <c r="D43" s="31" t="s">
        <v>95</v>
      </c>
      <c r="I43" s="37">
        <f ca="1">I41</f>
        <v>774</v>
      </c>
      <c r="J43" s="37">
        <f t="shared" ref="J43:BP43" ca="1" si="8">J41</f>
        <v>1002</v>
      </c>
      <c r="K43" s="37">
        <f t="shared" ca="1" si="8"/>
        <v>1296</v>
      </c>
      <c r="L43" s="37">
        <f t="shared" ca="1" si="8"/>
        <v>1680</v>
      </c>
      <c r="M43" s="37">
        <f t="shared" ca="1" si="8"/>
        <v>2178</v>
      </c>
      <c r="N43" s="37">
        <f t="shared" ca="1" si="8"/>
        <v>2826</v>
      </c>
      <c r="O43" s="37">
        <f t="shared" ca="1" si="8"/>
        <v>3660</v>
      </c>
      <c r="P43" s="37">
        <f t="shared" ca="1" si="8"/>
        <v>4746</v>
      </c>
      <c r="Q43" s="37">
        <f t="shared" ca="1" si="8"/>
        <v>6156</v>
      </c>
      <c r="R43" s="37">
        <f t="shared" ca="1" si="8"/>
        <v>7986</v>
      </c>
      <c r="S43" s="37">
        <f t="shared" ca="1" si="8"/>
        <v>10356</v>
      </c>
      <c r="T43" s="37">
        <f t="shared" ca="1" si="8"/>
        <v>13434</v>
      </c>
      <c r="U43" s="37">
        <f t="shared" ca="1" si="8"/>
        <v>17442</v>
      </c>
      <c r="V43" s="37">
        <f t="shared" ca="1" si="8"/>
        <v>22644</v>
      </c>
      <c r="W43" s="37">
        <f t="shared" ca="1" si="8"/>
        <v>29400</v>
      </c>
      <c r="X43" s="37">
        <f t="shared" ca="1" si="8"/>
        <v>38172</v>
      </c>
      <c r="Y43" s="37">
        <f t="shared" ca="1" si="8"/>
        <v>49566</v>
      </c>
      <c r="Z43" s="37">
        <f t="shared" ca="1" si="8"/>
        <v>64356</v>
      </c>
      <c r="AA43" s="37">
        <f t="shared" ca="1" si="8"/>
        <v>83562</v>
      </c>
      <c r="AB43" s="37">
        <f t="shared" ca="1" si="8"/>
        <v>108504</v>
      </c>
      <c r="AC43" s="37">
        <f t="shared" ca="1" si="8"/>
        <v>140886</v>
      </c>
      <c r="AD43" s="37">
        <f t="shared" ca="1" si="8"/>
        <v>182934</v>
      </c>
      <c r="AE43" s="37">
        <f t="shared" ca="1" si="8"/>
        <v>237540</v>
      </c>
      <c r="AF43" s="37">
        <f t="shared" ca="1" si="8"/>
        <v>308442</v>
      </c>
      <c r="AG43" s="37">
        <f t="shared" ca="1" si="8"/>
        <v>141175</v>
      </c>
      <c r="AH43" s="37">
        <f t="shared" ca="1" si="8"/>
        <v>155080</v>
      </c>
      <c r="AI43" s="37">
        <f t="shared" ca="1" si="8"/>
        <v>170352.5</v>
      </c>
      <c r="AJ43" s="37">
        <f t="shared" ca="1" si="8"/>
        <v>187130</v>
      </c>
      <c r="AK43" s="37">
        <f t="shared" ca="1" si="8"/>
        <v>205560</v>
      </c>
      <c r="AL43" s="37">
        <f t="shared" ca="1" si="8"/>
        <v>225805</v>
      </c>
      <c r="AM43" s="37">
        <f t="shared" ca="1" si="8"/>
        <v>248045</v>
      </c>
      <c r="AN43" s="37">
        <f t="shared" ca="1" si="8"/>
        <v>272477.5</v>
      </c>
      <c r="AO43" s="37">
        <f t="shared" ca="1" si="8"/>
        <v>299315</v>
      </c>
      <c r="AP43" s="37">
        <f t="shared" ca="1" si="8"/>
        <v>328797.5</v>
      </c>
      <c r="AQ43" s="37">
        <f t="shared" ca="1" si="8"/>
        <v>361182.5</v>
      </c>
      <c r="AR43" s="37">
        <f t="shared" ca="1" si="8"/>
        <v>396757.5</v>
      </c>
      <c r="AS43" s="37">
        <f t="shared" ca="1" si="8"/>
        <v>436035</v>
      </c>
      <c r="AT43" s="37">
        <f t="shared" ca="1" si="8"/>
        <v>479200</v>
      </c>
      <c r="AU43" s="37">
        <f t="shared" ca="1" si="8"/>
        <v>526640</v>
      </c>
      <c r="AV43" s="37">
        <f t="shared" ca="1" si="8"/>
        <v>578777.5</v>
      </c>
      <c r="AW43" s="37">
        <f t="shared" ca="1" si="8"/>
        <v>636075</v>
      </c>
      <c r="AX43" s="37">
        <f t="shared" ca="1" si="8"/>
        <v>699045</v>
      </c>
      <c r="AY43" s="37">
        <f t="shared" ca="1" si="8"/>
        <v>768250</v>
      </c>
      <c r="AZ43" s="37">
        <f t="shared" ca="1" si="8"/>
        <v>844305</v>
      </c>
      <c r="BA43" s="37">
        <f t="shared" ca="1" si="8"/>
        <v>927890</v>
      </c>
      <c r="BB43" s="37">
        <f t="shared" ca="1" si="8"/>
        <v>1019750</v>
      </c>
      <c r="BC43" s="37">
        <f t="shared" ca="1" si="8"/>
        <v>1120705</v>
      </c>
      <c r="BD43" s="37">
        <f t="shared" ca="1" si="8"/>
        <v>1231652.5</v>
      </c>
      <c r="BE43" s="37">
        <f t="shared" ca="1" si="8"/>
        <v>1624302</v>
      </c>
      <c r="BF43" s="37">
        <f t="shared" ca="1" si="8"/>
        <v>1785105</v>
      </c>
      <c r="BG43" s="37">
        <f t="shared" ca="1" si="8"/>
        <v>1961829</v>
      </c>
      <c r="BH43" s="37">
        <f t="shared" ca="1" si="8"/>
        <v>2156049</v>
      </c>
      <c r="BI43" s="37">
        <f t="shared" ca="1" si="8"/>
        <v>2369496</v>
      </c>
      <c r="BJ43" s="37">
        <f t="shared" ca="1" si="8"/>
        <v>2604075</v>
      </c>
      <c r="BK43" s="37">
        <f t="shared" ca="1" si="8"/>
        <v>2861877</v>
      </c>
      <c r="BL43" s="37">
        <f t="shared" ca="1" si="8"/>
        <v>3145203</v>
      </c>
      <c r="BM43" s="37">
        <f t="shared" ca="1" si="8"/>
        <v>3456576</v>
      </c>
      <c r="BN43" s="37">
        <f t="shared" ca="1" si="8"/>
        <v>3798774</v>
      </c>
      <c r="BO43" s="37">
        <f t="shared" ca="1" si="8"/>
        <v>4174851</v>
      </c>
      <c r="BP43" s="37">
        <f t="shared" ca="1" si="8"/>
        <v>4588161</v>
      </c>
    </row>
    <row r="44" spans="1:68" s="30" customFormat="1" ht="15" x14ac:dyDescent="0.25"/>
    <row r="45" spans="1:68" s="30" customFormat="1" ht="15" x14ac:dyDescent="0.25">
      <c r="A45" s="31"/>
      <c r="B45" s="31"/>
      <c r="C45" s="31" t="s">
        <v>96</v>
      </c>
      <c r="H45" s="31"/>
      <c r="I45" s="53">
        <f ca="1">I43+I34</f>
        <v>5774</v>
      </c>
      <c r="J45" s="53">
        <f t="shared" ref="J45:BP45" ca="1" si="9">J43+J34</f>
        <v>16002</v>
      </c>
      <c r="K45" s="53">
        <f t="shared" ca="1" si="9"/>
        <v>43796</v>
      </c>
      <c r="L45" s="53">
        <f t="shared" ca="1" si="9"/>
        <v>60013.333333333336</v>
      </c>
      <c r="M45" s="53">
        <f t="shared" ca="1" si="9"/>
        <v>68011.333333333328</v>
      </c>
      <c r="N45" s="53">
        <f t="shared" ca="1" si="9"/>
        <v>85326</v>
      </c>
      <c r="O45" s="53">
        <f t="shared" ca="1" si="9"/>
        <v>108660</v>
      </c>
      <c r="P45" s="53">
        <f t="shared" ca="1" si="9"/>
        <v>109746</v>
      </c>
      <c r="Q45" s="53">
        <f t="shared" ca="1" si="9"/>
        <v>126989.33333333333</v>
      </c>
      <c r="R45" s="53">
        <f t="shared" ca="1" si="9"/>
        <v>152986</v>
      </c>
      <c r="S45" s="53">
        <f t="shared" ca="1" si="9"/>
        <v>170356</v>
      </c>
      <c r="T45" s="53">
        <f t="shared" ca="1" si="9"/>
        <v>189267.33333333334</v>
      </c>
      <c r="U45" s="53">
        <f t="shared" ca="1" si="9"/>
        <v>209108.66666666666</v>
      </c>
      <c r="V45" s="53">
        <f t="shared" ca="1" si="9"/>
        <v>238477.33333333334</v>
      </c>
      <c r="W45" s="53">
        <f t="shared" ca="1" si="9"/>
        <v>261066.66666666666</v>
      </c>
      <c r="X45" s="53">
        <f t="shared" ca="1" si="9"/>
        <v>285672</v>
      </c>
      <c r="Y45" s="53">
        <f t="shared" ca="1" si="9"/>
        <v>321232.66666666669</v>
      </c>
      <c r="Z45" s="53">
        <f t="shared" ca="1" si="9"/>
        <v>351856</v>
      </c>
      <c r="AA45" s="53">
        <f t="shared" ca="1" si="9"/>
        <v>386895.33333333331</v>
      </c>
      <c r="AB45" s="53">
        <f t="shared" ca="1" si="9"/>
        <v>427670.66666666669</v>
      </c>
      <c r="AC45" s="53">
        <f t="shared" ca="1" si="9"/>
        <v>484219.33333333331</v>
      </c>
      <c r="AD45" s="53">
        <f t="shared" ca="1" si="9"/>
        <v>542100.66666666674</v>
      </c>
      <c r="AE45" s="53">
        <f t="shared" ca="1" si="9"/>
        <v>612540</v>
      </c>
      <c r="AF45" s="53">
        <f t="shared" ca="1" si="9"/>
        <v>705942</v>
      </c>
      <c r="AG45" s="53">
        <f t="shared" ca="1" si="9"/>
        <v>554508.33333333326</v>
      </c>
      <c r="AH45" s="53">
        <f t="shared" ca="1" si="9"/>
        <v>592580</v>
      </c>
      <c r="AI45" s="53">
        <f t="shared" ca="1" si="9"/>
        <v>623685.83333333326</v>
      </c>
      <c r="AJ45" s="53">
        <f t="shared" ca="1" si="9"/>
        <v>656296.66666666674</v>
      </c>
      <c r="AK45" s="53">
        <f t="shared" ca="1" si="9"/>
        <v>690560</v>
      </c>
      <c r="AL45" s="53">
        <f t="shared" ca="1" si="9"/>
        <v>734971.66666666674</v>
      </c>
      <c r="AM45" s="53">
        <f t="shared" ca="1" si="9"/>
        <v>773045</v>
      </c>
      <c r="AN45" s="53">
        <f t="shared" ca="1" si="9"/>
        <v>813310.83333333337</v>
      </c>
      <c r="AO45" s="53">
        <f t="shared" ca="1" si="9"/>
        <v>864315</v>
      </c>
      <c r="AP45" s="53">
        <f t="shared" ca="1" si="9"/>
        <v>909630.83333333337</v>
      </c>
      <c r="AQ45" s="53">
        <f t="shared" ca="1" si="9"/>
        <v>966182.5</v>
      </c>
      <c r="AR45" s="53">
        <f t="shared" ca="1" si="9"/>
        <v>1017590.8333333334</v>
      </c>
      <c r="AS45" s="53">
        <f t="shared" ca="1" si="9"/>
        <v>1056868.3333333335</v>
      </c>
      <c r="AT45" s="53">
        <f t="shared" ca="1" si="9"/>
        <v>1100033.3333333335</v>
      </c>
      <c r="AU45" s="53">
        <f t="shared" ca="1" si="9"/>
        <v>1147473.3333333335</v>
      </c>
      <c r="AV45" s="53">
        <f t="shared" ca="1" si="9"/>
        <v>1199610.8333333335</v>
      </c>
      <c r="AW45" s="53">
        <f t="shared" ca="1" si="9"/>
        <v>1256908.3333333335</v>
      </c>
      <c r="AX45" s="53">
        <f t="shared" ca="1" si="9"/>
        <v>1319878.3333333335</v>
      </c>
      <c r="AY45" s="53">
        <f t="shared" ca="1" si="9"/>
        <v>1389083.3333333335</v>
      </c>
      <c r="AZ45" s="53">
        <f t="shared" ca="1" si="9"/>
        <v>1465138.3333333335</v>
      </c>
      <c r="BA45" s="53">
        <f t="shared" ca="1" si="9"/>
        <v>1548723.3333333335</v>
      </c>
      <c r="BB45" s="53">
        <f t="shared" ca="1" si="9"/>
        <v>1640583.3333333335</v>
      </c>
      <c r="BC45" s="53">
        <f t="shared" ca="1" si="9"/>
        <v>1741538.3333333335</v>
      </c>
      <c r="BD45" s="53">
        <f t="shared" ca="1" si="9"/>
        <v>1852485.8333333335</v>
      </c>
      <c r="BE45" s="53">
        <f t="shared" ca="1" si="9"/>
        <v>2245135.3333333335</v>
      </c>
      <c r="BF45" s="53">
        <f t="shared" ca="1" si="9"/>
        <v>2405938.3333333335</v>
      </c>
      <c r="BG45" s="53">
        <f t="shared" ca="1" si="9"/>
        <v>2582662.3333333335</v>
      </c>
      <c r="BH45" s="53">
        <f t="shared" ca="1" si="9"/>
        <v>2776882.3333333335</v>
      </c>
      <c r="BI45" s="53">
        <f t="shared" ca="1" si="9"/>
        <v>2990329.3333333335</v>
      </c>
      <c r="BJ45" s="53">
        <f t="shared" ca="1" si="9"/>
        <v>3224908.3333333335</v>
      </c>
      <c r="BK45" s="53">
        <f t="shared" ca="1" si="9"/>
        <v>3482710.3333333335</v>
      </c>
      <c r="BL45" s="53">
        <f t="shared" ca="1" si="9"/>
        <v>3766036.3333333335</v>
      </c>
      <c r="BM45" s="53">
        <f t="shared" ca="1" si="9"/>
        <v>4077409.3333333335</v>
      </c>
      <c r="BN45" s="53">
        <f t="shared" ca="1" si="9"/>
        <v>4419607.333333333</v>
      </c>
      <c r="BO45" s="53">
        <f t="shared" ca="1" si="9"/>
        <v>4795684.333333333</v>
      </c>
      <c r="BP45" s="53">
        <f t="shared" ca="1" si="9"/>
        <v>5208994.333333333</v>
      </c>
    </row>
    <row r="46" spans="1:68" s="30" customFormat="1" ht="15" x14ac:dyDescent="0.25"/>
    <row r="47" spans="1:68" s="43" customFormat="1" ht="15.75" thickBot="1" x14ac:dyDescent="0.3">
      <c r="C47" s="43" t="s">
        <v>97</v>
      </c>
      <c r="I47" s="44">
        <f ca="1">I22-I45</f>
        <v>-3194</v>
      </c>
      <c r="J47" s="44">
        <f t="shared" ref="J47:BP47" ca="1" si="10">J22-J45</f>
        <v>-12662</v>
      </c>
      <c r="K47" s="44">
        <f t="shared" ca="1" si="10"/>
        <v>-39476</v>
      </c>
      <c r="L47" s="44">
        <f t="shared" ca="1" si="10"/>
        <v>-54413.333333333336</v>
      </c>
      <c r="M47" s="44">
        <f t="shared" ca="1" si="10"/>
        <v>-60751.333333333328</v>
      </c>
      <c r="N47" s="44">
        <f t="shared" ca="1" si="10"/>
        <v>-75906</v>
      </c>
      <c r="O47" s="44">
        <f t="shared" ca="1" si="10"/>
        <v>-96460</v>
      </c>
      <c r="P47" s="44">
        <f t="shared" ca="1" si="10"/>
        <v>-93926</v>
      </c>
      <c r="Q47" s="44">
        <f t="shared" ca="1" si="10"/>
        <v>-106469.33333333333</v>
      </c>
      <c r="R47" s="44">
        <f t="shared" ca="1" si="10"/>
        <v>-126366</v>
      </c>
      <c r="S47" s="44">
        <f t="shared" ca="1" si="10"/>
        <v>-135836</v>
      </c>
      <c r="T47" s="44">
        <f t="shared" ca="1" si="10"/>
        <v>-144487.33333333334</v>
      </c>
      <c r="U47" s="44">
        <f t="shared" ca="1" si="10"/>
        <v>-150968.66666666666</v>
      </c>
      <c r="V47" s="44">
        <f t="shared" ca="1" si="10"/>
        <v>-162997.33333333334</v>
      </c>
      <c r="W47" s="44">
        <f t="shared" ca="1" si="10"/>
        <v>-163066.66666666666</v>
      </c>
      <c r="X47" s="44">
        <f t="shared" ca="1" si="10"/>
        <v>-158432</v>
      </c>
      <c r="Y47" s="44">
        <f t="shared" ca="1" si="10"/>
        <v>-156012.66666666669</v>
      </c>
      <c r="Z47" s="44">
        <f t="shared" ca="1" si="10"/>
        <v>-137336</v>
      </c>
      <c r="AA47" s="44">
        <f t="shared" ca="1" si="10"/>
        <v>-108355.33333333331</v>
      </c>
      <c r="AB47" s="44">
        <f t="shared" ca="1" si="10"/>
        <v>-65990.666666666686</v>
      </c>
      <c r="AC47" s="44">
        <f t="shared" ca="1" si="10"/>
        <v>-14599.333333333314</v>
      </c>
      <c r="AD47" s="44">
        <f t="shared" ca="1" si="10"/>
        <v>67679.333333333256</v>
      </c>
      <c r="AE47" s="44">
        <f t="shared" ca="1" si="10"/>
        <v>179260</v>
      </c>
      <c r="AF47" s="44">
        <f t="shared" ca="1" si="10"/>
        <v>322198</v>
      </c>
      <c r="AG47" s="44">
        <f t="shared" ca="1" si="10"/>
        <v>857241.66666666674</v>
      </c>
      <c r="AH47" s="44">
        <f t="shared" ca="1" si="10"/>
        <v>958220</v>
      </c>
      <c r="AI47" s="44">
        <f t="shared" ca="1" si="10"/>
        <v>1079839.1666666667</v>
      </c>
      <c r="AJ47" s="44">
        <f t="shared" ca="1" si="10"/>
        <v>1215003.3333333333</v>
      </c>
      <c r="AK47" s="44">
        <f t="shared" ca="1" si="10"/>
        <v>1365040</v>
      </c>
      <c r="AL47" s="44">
        <f t="shared" ca="1" si="10"/>
        <v>1523078.3333333333</v>
      </c>
      <c r="AM47" s="44">
        <f t="shared" ca="1" si="10"/>
        <v>1707405</v>
      </c>
      <c r="AN47" s="44">
        <f t="shared" ca="1" si="10"/>
        <v>1911464.1666666665</v>
      </c>
      <c r="AO47" s="44">
        <f t="shared" ca="1" si="10"/>
        <v>2128835</v>
      </c>
      <c r="AP47" s="44">
        <f t="shared" ca="1" si="10"/>
        <v>2378344.1666666665</v>
      </c>
      <c r="AQ47" s="44">
        <f t="shared" ca="1" si="10"/>
        <v>2645642.5</v>
      </c>
      <c r="AR47" s="44">
        <f t="shared" ca="1" si="10"/>
        <v>2949984.1666666665</v>
      </c>
      <c r="AS47" s="44">
        <f t="shared" ca="1" si="10"/>
        <v>3303481.6666666665</v>
      </c>
      <c r="AT47" s="44">
        <f t="shared" ca="1" si="10"/>
        <v>3691966.6666666665</v>
      </c>
      <c r="AU47" s="44">
        <f t="shared" ca="1" si="10"/>
        <v>4118926.6666666665</v>
      </c>
      <c r="AV47" s="44">
        <f t="shared" ca="1" si="10"/>
        <v>4588164.166666666</v>
      </c>
      <c r="AW47" s="44">
        <f t="shared" ca="1" si="10"/>
        <v>5103841.666666666</v>
      </c>
      <c r="AX47" s="44">
        <f t="shared" ca="1" si="10"/>
        <v>5670571.666666666</v>
      </c>
      <c r="AY47" s="44">
        <f t="shared" ca="1" si="10"/>
        <v>6293416.666666666</v>
      </c>
      <c r="AZ47" s="44">
        <f t="shared" ca="1" si="10"/>
        <v>6977911.666666666</v>
      </c>
      <c r="BA47" s="44">
        <f t="shared" ca="1" si="10"/>
        <v>7730176.666666666</v>
      </c>
      <c r="BB47" s="44">
        <f t="shared" ca="1" si="10"/>
        <v>8556916.666666666</v>
      </c>
      <c r="BC47" s="44">
        <f t="shared" ca="1" si="10"/>
        <v>9465511.666666666</v>
      </c>
      <c r="BD47" s="44">
        <f t="shared" ca="1" si="10"/>
        <v>10464039.166666666</v>
      </c>
      <c r="BE47" s="44">
        <f t="shared" ca="1" si="10"/>
        <v>13997884.666666666</v>
      </c>
      <c r="BF47" s="44">
        <f t="shared" ca="1" si="10"/>
        <v>15445111.666666666</v>
      </c>
      <c r="BG47" s="44">
        <f t="shared" ca="1" si="10"/>
        <v>17035627.666666668</v>
      </c>
      <c r="BH47" s="44">
        <f t="shared" ca="1" si="10"/>
        <v>18783607.666666668</v>
      </c>
      <c r="BI47" s="44">
        <f t="shared" ca="1" si="10"/>
        <v>20704630.666666668</v>
      </c>
      <c r="BJ47" s="44">
        <f t="shared" ca="1" si="10"/>
        <v>22815841.666666668</v>
      </c>
      <c r="BK47" s="44">
        <f t="shared" ca="1" si="10"/>
        <v>25136059.666666668</v>
      </c>
      <c r="BL47" s="44">
        <f t="shared" ca="1" si="10"/>
        <v>27685993.666666668</v>
      </c>
      <c r="BM47" s="44">
        <f t="shared" ca="1" si="10"/>
        <v>30488350.666666668</v>
      </c>
      <c r="BN47" s="44">
        <f t="shared" ca="1" si="10"/>
        <v>33568132.666666664</v>
      </c>
      <c r="BO47" s="44">
        <f t="shared" ca="1" si="10"/>
        <v>36952825.666666664</v>
      </c>
      <c r="BP47" s="44">
        <f t="shared" ca="1" si="10"/>
        <v>40672615.666666664</v>
      </c>
    </row>
    <row r="48" spans="1:68" s="30" customFormat="1" ht="15.75" thickTop="1" x14ac:dyDescent="0.25"/>
    <row r="49" spans="1:68" s="40" customFormat="1" ht="15.75" thickBot="1" x14ac:dyDescent="0.3">
      <c r="A49" s="68"/>
      <c r="B49" s="68"/>
      <c r="C49" s="68" t="s">
        <v>98</v>
      </c>
      <c r="D49" s="68"/>
      <c r="E49" s="68"/>
      <c r="F49" s="68"/>
      <c r="G49" s="68"/>
      <c r="H49" s="68"/>
      <c r="I49" s="68"/>
      <c r="J49" s="68"/>
      <c r="K49" s="68"/>
      <c r="L49" s="68"/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8"/>
      <c r="X49" s="68"/>
      <c r="Y49" s="68"/>
      <c r="Z49" s="68"/>
      <c r="AA49" s="68"/>
      <c r="AB49" s="68"/>
      <c r="AC49" s="68"/>
      <c r="AD49" s="68"/>
      <c r="AE49" s="68"/>
      <c r="AF49" s="68"/>
      <c r="AG49" s="68"/>
      <c r="AH49" s="68"/>
      <c r="AI49" s="68"/>
      <c r="AJ49" s="68"/>
      <c r="AK49" s="68"/>
      <c r="AL49" s="68"/>
      <c r="AM49" s="68"/>
      <c r="AN49" s="68"/>
      <c r="AO49" s="68"/>
      <c r="AP49" s="68"/>
      <c r="AQ49" s="68"/>
      <c r="AR49" s="68"/>
      <c r="AS49" s="68"/>
      <c r="AT49" s="68"/>
      <c r="AU49" s="68"/>
      <c r="AV49" s="68"/>
      <c r="AW49" s="68"/>
      <c r="AX49" s="68"/>
      <c r="AY49" s="68"/>
      <c r="AZ49" s="68"/>
      <c r="BA49" s="68"/>
      <c r="BB49" s="68"/>
      <c r="BC49" s="68"/>
      <c r="BD49" s="68"/>
      <c r="BE49" s="68"/>
      <c r="BF49" s="68"/>
      <c r="BG49" s="68"/>
      <c r="BH49" s="68"/>
      <c r="BI49" s="68"/>
      <c r="BJ49" s="68"/>
      <c r="BK49" s="68"/>
      <c r="BL49" s="68"/>
      <c r="BM49" s="68"/>
      <c r="BN49" s="68"/>
      <c r="BO49" s="68"/>
      <c r="BP49" s="68"/>
    </row>
    <row r="50" spans="1:68" s="30" customFormat="1" ht="15" x14ac:dyDescent="0.25"/>
    <row r="51" spans="1:68" s="30" customFormat="1" ht="15" x14ac:dyDescent="0.25">
      <c r="D51" s="31" t="s">
        <v>99</v>
      </c>
    </row>
    <row r="52" spans="1:68" s="30" customFormat="1" ht="15" x14ac:dyDescent="0.25">
      <c r="D52" s="31"/>
      <c r="E52" s="31" t="s">
        <v>80</v>
      </c>
      <c r="H52" s="60" t="s">
        <v>81</v>
      </c>
    </row>
    <row r="53" spans="1:68" s="30" customFormat="1" ht="15" x14ac:dyDescent="0.25">
      <c r="F53" s="30" t="s">
        <v>100</v>
      </c>
      <c r="H53" s="37">
        <f>INDEX(tblStaff[Salary],MATCH(Calculations!F53,tblStaff[Staff],0))</f>
        <v>150000</v>
      </c>
      <c r="I53" s="38">
        <f>SUMIFS(Assumptions!I$66:I$118,Assumptions!$F$66:$F$118,AssmStaffScenario,Assumptions!$G$66:$G$118,Calculations!$F53)</f>
        <v>1</v>
      </c>
      <c r="J53" s="38">
        <f>SUMIFS(Assumptions!J$66:J$118,Assumptions!$F$66:$F$118,AssmStaffScenario,Assumptions!$G$66:$G$118,Calculations!$F53)</f>
        <v>1</v>
      </c>
      <c r="K53" s="38">
        <f>SUMIFS(Assumptions!K$66:K$118,Assumptions!$F$66:$F$118,AssmStaffScenario,Assumptions!$G$66:$G$118,Calculations!$F53)</f>
        <v>1</v>
      </c>
      <c r="L53" s="38">
        <f>SUMIFS(Assumptions!L$66:L$118,Assumptions!$F$66:$F$118,AssmStaffScenario,Assumptions!$G$66:$G$118,Calculations!$F53)</f>
        <v>1</v>
      </c>
      <c r="M53" s="38">
        <f>SUMIFS(Assumptions!M$66:M$118,Assumptions!$F$66:$F$118,AssmStaffScenario,Assumptions!$G$66:$G$118,Calculations!$F53)</f>
        <v>1</v>
      </c>
      <c r="N53" s="38">
        <f>SUMIFS(Assumptions!N$66:N$118,Assumptions!$F$66:$F$118,AssmStaffScenario,Assumptions!$G$66:$G$118,Calculations!$F53)</f>
        <v>1</v>
      </c>
      <c r="O53" s="38">
        <f>SUMIFS(Assumptions!O$66:O$118,Assumptions!$F$66:$F$118,AssmStaffScenario,Assumptions!$G$66:$G$118,Calculations!$F53)</f>
        <v>1</v>
      </c>
      <c r="P53" s="38">
        <f>SUMIFS(Assumptions!P$66:P$118,Assumptions!$F$66:$F$118,AssmStaffScenario,Assumptions!$G$66:$G$118,Calculations!$F53)</f>
        <v>1</v>
      </c>
      <c r="Q53" s="38">
        <f>SUMIFS(Assumptions!Q$66:Q$118,Assumptions!$F$66:$F$118,AssmStaffScenario,Assumptions!$G$66:$G$118,Calculations!$F53)</f>
        <v>1</v>
      </c>
      <c r="R53" s="38">
        <f>SUMIFS(Assumptions!R$66:R$118,Assumptions!$F$66:$F$118,AssmStaffScenario,Assumptions!$G$66:$G$118,Calculations!$F53)</f>
        <v>1</v>
      </c>
      <c r="S53" s="38">
        <f>SUMIFS(Assumptions!S$66:S$118,Assumptions!$F$66:$F$118,AssmStaffScenario,Assumptions!$G$66:$G$118,Calculations!$F53)</f>
        <v>1</v>
      </c>
      <c r="T53" s="38">
        <f>SUMIFS(Assumptions!T$66:T$118,Assumptions!$F$66:$F$118,AssmStaffScenario,Assumptions!$G$66:$G$118,Calculations!$F53)</f>
        <v>1</v>
      </c>
      <c r="U53" s="38">
        <f>SUMIFS(Assumptions!U$66:U$118,Assumptions!$F$66:$F$118,AssmStaffScenario,Assumptions!$G$66:$G$118,Calculations!$F53)</f>
        <v>1</v>
      </c>
      <c r="V53" s="38">
        <f>SUMIFS(Assumptions!V$66:V$118,Assumptions!$F$66:$F$118,AssmStaffScenario,Assumptions!$G$66:$G$118,Calculations!$F53)</f>
        <v>1</v>
      </c>
      <c r="W53" s="38">
        <f>SUMIFS(Assumptions!W$66:W$118,Assumptions!$F$66:$F$118,AssmStaffScenario,Assumptions!$G$66:$G$118,Calculations!$F53)</f>
        <v>1</v>
      </c>
      <c r="X53" s="38">
        <f>SUMIFS(Assumptions!X$66:X$118,Assumptions!$F$66:$F$118,AssmStaffScenario,Assumptions!$G$66:$G$118,Calculations!$F53)</f>
        <v>1</v>
      </c>
      <c r="Y53" s="38">
        <f>SUMIFS(Assumptions!Y$66:Y$118,Assumptions!$F$66:$F$118,AssmStaffScenario,Assumptions!$G$66:$G$118,Calculations!$F53)</f>
        <v>1</v>
      </c>
      <c r="Z53" s="38">
        <f>SUMIFS(Assumptions!Z$66:Z$118,Assumptions!$F$66:$F$118,AssmStaffScenario,Assumptions!$G$66:$G$118,Calculations!$F53)</f>
        <v>1</v>
      </c>
      <c r="AA53" s="38">
        <f>SUMIFS(Assumptions!AA$66:AA$118,Assumptions!$F$66:$F$118,AssmStaffScenario,Assumptions!$G$66:$G$118,Calculations!$F53)</f>
        <v>1</v>
      </c>
      <c r="AB53" s="38">
        <f>SUMIFS(Assumptions!AB$66:AB$118,Assumptions!$F$66:$F$118,AssmStaffScenario,Assumptions!$G$66:$G$118,Calculations!$F53)</f>
        <v>1</v>
      </c>
      <c r="AC53" s="38">
        <f>SUMIFS(Assumptions!AC$66:AC$118,Assumptions!$F$66:$F$118,AssmStaffScenario,Assumptions!$G$66:$G$118,Calculations!$F53)</f>
        <v>1</v>
      </c>
      <c r="AD53" s="38">
        <f>SUMIFS(Assumptions!AD$66:AD$118,Assumptions!$F$66:$F$118,AssmStaffScenario,Assumptions!$G$66:$G$118,Calculations!$F53)</f>
        <v>1</v>
      </c>
      <c r="AE53" s="38">
        <f>SUMIFS(Assumptions!AE$66:AE$118,Assumptions!$F$66:$F$118,AssmStaffScenario,Assumptions!$G$66:$G$118,Calculations!$F53)</f>
        <v>1</v>
      </c>
      <c r="AF53" s="38">
        <f>SUMIFS(Assumptions!AF$66:AF$118,Assumptions!$F$66:$F$118,AssmStaffScenario,Assumptions!$G$66:$G$118,Calculations!$F53)</f>
        <v>1</v>
      </c>
      <c r="AG53" s="38">
        <f>SUMIFS(Assumptions!AG$66:AG$118,Assumptions!$F$66:$F$118,AssmStaffScenario,Assumptions!$G$66:$G$118,Calculations!$F53)</f>
        <v>1</v>
      </c>
      <c r="AH53" s="38">
        <f>SUMIFS(Assumptions!AH$66:AH$118,Assumptions!$F$66:$F$118,AssmStaffScenario,Assumptions!$G$66:$G$118,Calculations!$F53)</f>
        <v>1</v>
      </c>
      <c r="AI53" s="38">
        <f>SUMIFS(Assumptions!AI$66:AI$118,Assumptions!$F$66:$F$118,AssmStaffScenario,Assumptions!$G$66:$G$118,Calculations!$F53)</f>
        <v>1</v>
      </c>
      <c r="AJ53" s="38">
        <f>SUMIFS(Assumptions!AJ$66:AJ$118,Assumptions!$F$66:$F$118,AssmStaffScenario,Assumptions!$G$66:$G$118,Calculations!$F53)</f>
        <v>1</v>
      </c>
      <c r="AK53" s="38">
        <f>SUMIFS(Assumptions!AK$66:AK$118,Assumptions!$F$66:$F$118,AssmStaffScenario,Assumptions!$G$66:$G$118,Calculations!$F53)</f>
        <v>1</v>
      </c>
      <c r="AL53" s="38">
        <f>SUMIFS(Assumptions!AL$66:AL$118,Assumptions!$F$66:$F$118,AssmStaffScenario,Assumptions!$G$66:$G$118,Calculations!$F53)</f>
        <v>1</v>
      </c>
      <c r="AM53" s="38">
        <f>SUMIFS(Assumptions!AM$66:AM$118,Assumptions!$F$66:$F$118,AssmStaffScenario,Assumptions!$G$66:$G$118,Calculations!$F53)</f>
        <v>1</v>
      </c>
      <c r="AN53" s="38">
        <f>SUMIFS(Assumptions!AN$66:AN$118,Assumptions!$F$66:$F$118,AssmStaffScenario,Assumptions!$G$66:$G$118,Calculations!$F53)</f>
        <v>1</v>
      </c>
      <c r="AO53" s="38">
        <f>SUMIFS(Assumptions!AO$66:AO$118,Assumptions!$F$66:$F$118,AssmStaffScenario,Assumptions!$G$66:$G$118,Calculations!$F53)</f>
        <v>1</v>
      </c>
      <c r="AP53" s="38">
        <f>SUMIFS(Assumptions!AP$66:AP$118,Assumptions!$F$66:$F$118,AssmStaffScenario,Assumptions!$G$66:$G$118,Calculations!$F53)</f>
        <v>1</v>
      </c>
      <c r="AQ53" s="38">
        <f>SUMIFS(Assumptions!AQ$66:AQ$118,Assumptions!$F$66:$F$118,AssmStaffScenario,Assumptions!$G$66:$G$118,Calculations!$F53)</f>
        <v>1</v>
      </c>
      <c r="AR53" s="38">
        <f>SUMIFS(Assumptions!AR$66:AR$118,Assumptions!$F$66:$F$118,AssmStaffScenario,Assumptions!$G$66:$G$118,Calculations!$F53)</f>
        <v>1</v>
      </c>
      <c r="AS53" s="38">
        <f>SUMIFS(Assumptions!AS$66:AS$118,Assumptions!$F$66:$F$118,AssmStaffScenario,Assumptions!$G$66:$G$118,Calculations!$F53)</f>
        <v>1</v>
      </c>
      <c r="AT53" s="38">
        <f>SUMIFS(Assumptions!AT$66:AT$118,Assumptions!$F$66:$F$118,AssmStaffScenario,Assumptions!$G$66:$G$118,Calculations!$F53)</f>
        <v>1</v>
      </c>
      <c r="AU53" s="38">
        <f>SUMIFS(Assumptions!AU$66:AU$118,Assumptions!$F$66:$F$118,AssmStaffScenario,Assumptions!$G$66:$G$118,Calculations!$F53)</f>
        <v>1</v>
      </c>
      <c r="AV53" s="38">
        <f>SUMIFS(Assumptions!AV$66:AV$118,Assumptions!$F$66:$F$118,AssmStaffScenario,Assumptions!$G$66:$G$118,Calculations!$F53)</f>
        <v>1</v>
      </c>
      <c r="AW53" s="38">
        <f>SUMIFS(Assumptions!AW$66:AW$118,Assumptions!$F$66:$F$118,AssmStaffScenario,Assumptions!$G$66:$G$118,Calculations!$F53)</f>
        <v>1</v>
      </c>
      <c r="AX53" s="38">
        <f>SUMIFS(Assumptions!AX$66:AX$118,Assumptions!$F$66:$F$118,AssmStaffScenario,Assumptions!$G$66:$G$118,Calculations!$F53)</f>
        <v>1</v>
      </c>
      <c r="AY53" s="38">
        <f>SUMIFS(Assumptions!AY$66:AY$118,Assumptions!$F$66:$F$118,AssmStaffScenario,Assumptions!$G$66:$G$118,Calculations!$F53)</f>
        <v>1</v>
      </c>
      <c r="AZ53" s="38">
        <f>SUMIFS(Assumptions!AZ$66:AZ$118,Assumptions!$F$66:$F$118,AssmStaffScenario,Assumptions!$G$66:$G$118,Calculations!$F53)</f>
        <v>1</v>
      </c>
      <c r="BA53" s="38">
        <f>SUMIFS(Assumptions!BA$66:BA$118,Assumptions!$F$66:$F$118,AssmStaffScenario,Assumptions!$G$66:$G$118,Calculations!$F53)</f>
        <v>1</v>
      </c>
      <c r="BB53" s="38">
        <f>SUMIFS(Assumptions!BB$66:BB$118,Assumptions!$F$66:$F$118,AssmStaffScenario,Assumptions!$G$66:$G$118,Calculations!$F53)</f>
        <v>1</v>
      </c>
      <c r="BC53" s="38">
        <f>SUMIFS(Assumptions!BC$66:BC$118,Assumptions!$F$66:$F$118,AssmStaffScenario,Assumptions!$G$66:$G$118,Calculations!$F53)</f>
        <v>1</v>
      </c>
      <c r="BD53" s="38">
        <f>SUMIFS(Assumptions!BD$66:BD$118,Assumptions!$F$66:$F$118,AssmStaffScenario,Assumptions!$G$66:$G$118,Calculations!$F53)</f>
        <v>1</v>
      </c>
      <c r="BE53" s="38">
        <f>SUMIFS(Assumptions!BE$66:BE$118,Assumptions!$F$66:$F$118,AssmStaffScenario,Assumptions!$G$66:$G$118,Calculations!$F53)</f>
        <v>1</v>
      </c>
      <c r="BF53" s="38">
        <f>SUMIFS(Assumptions!BF$66:BF$118,Assumptions!$F$66:$F$118,AssmStaffScenario,Assumptions!$G$66:$G$118,Calculations!$F53)</f>
        <v>1</v>
      </c>
      <c r="BG53" s="38">
        <f>SUMIFS(Assumptions!BG$66:BG$118,Assumptions!$F$66:$F$118,AssmStaffScenario,Assumptions!$G$66:$G$118,Calculations!$F53)</f>
        <v>1</v>
      </c>
      <c r="BH53" s="38">
        <f>SUMIFS(Assumptions!BH$66:BH$118,Assumptions!$F$66:$F$118,AssmStaffScenario,Assumptions!$G$66:$G$118,Calculations!$F53)</f>
        <v>1</v>
      </c>
      <c r="BI53" s="38">
        <f>SUMIFS(Assumptions!BI$66:BI$118,Assumptions!$F$66:$F$118,AssmStaffScenario,Assumptions!$G$66:$G$118,Calculations!$F53)</f>
        <v>1</v>
      </c>
      <c r="BJ53" s="38">
        <f>SUMIFS(Assumptions!BJ$66:BJ$118,Assumptions!$F$66:$F$118,AssmStaffScenario,Assumptions!$G$66:$G$118,Calculations!$F53)</f>
        <v>1</v>
      </c>
      <c r="BK53" s="38">
        <f>SUMIFS(Assumptions!BK$66:BK$118,Assumptions!$F$66:$F$118,AssmStaffScenario,Assumptions!$G$66:$G$118,Calculations!$F53)</f>
        <v>1</v>
      </c>
      <c r="BL53" s="38">
        <f>SUMIFS(Assumptions!BL$66:BL$118,Assumptions!$F$66:$F$118,AssmStaffScenario,Assumptions!$G$66:$G$118,Calculations!$F53)</f>
        <v>1</v>
      </c>
      <c r="BM53" s="38">
        <f>SUMIFS(Assumptions!BM$66:BM$118,Assumptions!$F$66:$F$118,AssmStaffScenario,Assumptions!$G$66:$G$118,Calculations!$F53)</f>
        <v>1</v>
      </c>
      <c r="BN53" s="38">
        <f>SUMIFS(Assumptions!BN$66:BN$118,Assumptions!$F$66:$F$118,AssmStaffScenario,Assumptions!$G$66:$G$118,Calculations!$F53)</f>
        <v>1</v>
      </c>
      <c r="BO53" s="38">
        <f>SUMIFS(Assumptions!BO$66:BO$118,Assumptions!$F$66:$F$118,AssmStaffScenario,Assumptions!$G$66:$G$118,Calculations!$F53)</f>
        <v>1</v>
      </c>
      <c r="BP53" s="38">
        <f>SUMIFS(Assumptions!BP$66:BP$118,Assumptions!$F$66:$F$118,AssmStaffScenario,Assumptions!$G$66:$G$118,Calculations!$F53)</f>
        <v>1</v>
      </c>
    </row>
    <row r="54" spans="1:68" s="30" customFormat="1" ht="15" x14ac:dyDescent="0.25">
      <c r="F54" s="30" t="s">
        <v>101</v>
      </c>
      <c r="H54" s="37">
        <f>INDEX(tblStaff[Salary],MATCH(Calculations!F54,tblStaff[Staff],0))</f>
        <v>80000</v>
      </c>
      <c r="I54" s="38">
        <f>SUMIFS(Assumptions!I$66:I$118,Assumptions!$F$66:$F$118,AssmStaffScenario,Assumptions!$G$66:$G$118,Calculations!$F54)</f>
        <v>0</v>
      </c>
      <c r="J54" s="38">
        <f>SUMIFS(Assumptions!J$66:J$118,Assumptions!$F$66:$F$118,AssmStaffScenario,Assumptions!$G$66:$G$118,Calculations!$F54)</f>
        <v>0</v>
      </c>
      <c r="K54" s="38">
        <f>SUMIFS(Assumptions!K$66:K$118,Assumptions!$F$66:$F$118,AssmStaffScenario,Assumptions!$G$66:$G$118,Calculations!$F54)</f>
        <v>1</v>
      </c>
      <c r="L54" s="38">
        <f>SUMIFS(Assumptions!L$66:L$118,Assumptions!$F$66:$F$118,AssmStaffScenario,Assumptions!$G$66:$G$118,Calculations!$F54)</f>
        <v>1</v>
      </c>
      <c r="M54" s="38">
        <f>SUMIFS(Assumptions!M$66:M$118,Assumptions!$F$66:$F$118,AssmStaffScenario,Assumptions!$G$66:$G$118,Calculations!$F54)</f>
        <v>1</v>
      </c>
      <c r="N54" s="38">
        <f>SUMIFS(Assumptions!N$66:N$118,Assumptions!$F$66:$F$118,AssmStaffScenario,Assumptions!$G$66:$G$118,Calculations!$F54)</f>
        <v>1</v>
      </c>
      <c r="O54" s="38">
        <f>SUMIFS(Assumptions!O$66:O$118,Assumptions!$F$66:$F$118,AssmStaffScenario,Assumptions!$G$66:$G$118,Calculations!$F54)</f>
        <v>1</v>
      </c>
      <c r="P54" s="38">
        <f>SUMIFS(Assumptions!P$66:P$118,Assumptions!$F$66:$F$118,AssmStaffScenario,Assumptions!$G$66:$G$118,Calculations!$F54)</f>
        <v>1</v>
      </c>
      <c r="Q54" s="38">
        <f>SUMIFS(Assumptions!Q$66:Q$118,Assumptions!$F$66:$F$118,AssmStaffScenario,Assumptions!$G$66:$G$118,Calculations!$F54)</f>
        <v>1</v>
      </c>
      <c r="R54" s="38">
        <f>SUMIFS(Assumptions!R$66:R$118,Assumptions!$F$66:$F$118,AssmStaffScenario,Assumptions!$G$66:$G$118,Calculations!$F54)</f>
        <v>1</v>
      </c>
      <c r="S54" s="38">
        <f>SUMIFS(Assumptions!S$66:S$118,Assumptions!$F$66:$F$118,AssmStaffScenario,Assumptions!$G$66:$G$118,Calculations!$F54)</f>
        <v>1</v>
      </c>
      <c r="T54" s="38">
        <f>SUMIFS(Assumptions!T$66:T$118,Assumptions!$F$66:$F$118,AssmStaffScenario,Assumptions!$G$66:$G$118,Calculations!$F54)</f>
        <v>1</v>
      </c>
      <c r="U54" s="38">
        <f>SUMIFS(Assumptions!U$66:U$118,Assumptions!$F$66:$F$118,AssmStaffScenario,Assumptions!$G$66:$G$118,Calculations!$F54)</f>
        <v>1</v>
      </c>
      <c r="V54" s="38">
        <f>SUMIFS(Assumptions!V$66:V$118,Assumptions!$F$66:$F$118,AssmStaffScenario,Assumptions!$G$66:$G$118,Calculations!$F54)</f>
        <v>1</v>
      </c>
      <c r="W54" s="38">
        <f>SUMIFS(Assumptions!W$66:W$118,Assumptions!$F$66:$F$118,AssmStaffScenario,Assumptions!$G$66:$G$118,Calculations!$F54)</f>
        <v>1</v>
      </c>
      <c r="X54" s="38">
        <f>SUMIFS(Assumptions!X$66:X$118,Assumptions!$F$66:$F$118,AssmStaffScenario,Assumptions!$G$66:$G$118,Calculations!$F54)</f>
        <v>1</v>
      </c>
      <c r="Y54" s="38">
        <f>SUMIFS(Assumptions!Y$66:Y$118,Assumptions!$F$66:$F$118,AssmStaffScenario,Assumptions!$G$66:$G$118,Calculations!$F54)</f>
        <v>1</v>
      </c>
      <c r="Z54" s="38">
        <f>SUMIFS(Assumptions!Z$66:Z$118,Assumptions!$F$66:$F$118,AssmStaffScenario,Assumptions!$G$66:$G$118,Calculations!$F54)</f>
        <v>1</v>
      </c>
      <c r="AA54" s="38">
        <f>SUMIFS(Assumptions!AA$66:AA$118,Assumptions!$F$66:$F$118,AssmStaffScenario,Assumptions!$G$66:$G$118,Calculations!$F54)</f>
        <v>1</v>
      </c>
      <c r="AB54" s="38">
        <f>SUMIFS(Assumptions!AB$66:AB$118,Assumptions!$F$66:$F$118,AssmStaffScenario,Assumptions!$G$66:$G$118,Calculations!$F54)</f>
        <v>1</v>
      </c>
      <c r="AC54" s="38">
        <f>SUMIFS(Assumptions!AC$66:AC$118,Assumptions!$F$66:$F$118,AssmStaffScenario,Assumptions!$G$66:$G$118,Calculations!$F54)</f>
        <v>1</v>
      </c>
      <c r="AD54" s="38">
        <f>SUMIFS(Assumptions!AD$66:AD$118,Assumptions!$F$66:$F$118,AssmStaffScenario,Assumptions!$G$66:$G$118,Calculations!$F54)</f>
        <v>1</v>
      </c>
      <c r="AE54" s="38">
        <f>SUMIFS(Assumptions!AE$66:AE$118,Assumptions!$F$66:$F$118,AssmStaffScenario,Assumptions!$G$66:$G$118,Calculations!$F54)</f>
        <v>1</v>
      </c>
      <c r="AF54" s="38">
        <f>SUMIFS(Assumptions!AF$66:AF$118,Assumptions!$F$66:$F$118,AssmStaffScenario,Assumptions!$G$66:$G$118,Calculations!$F54)</f>
        <v>1</v>
      </c>
      <c r="AG54" s="38">
        <f>SUMIFS(Assumptions!AG$66:AG$118,Assumptions!$F$66:$F$118,AssmStaffScenario,Assumptions!$G$66:$G$118,Calculations!$F54)</f>
        <v>1</v>
      </c>
      <c r="AH54" s="38">
        <f>SUMIFS(Assumptions!AH$66:AH$118,Assumptions!$F$66:$F$118,AssmStaffScenario,Assumptions!$G$66:$G$118,Calculations!$F54)</f>
        <v>1</v>
      </c>
      <c r="AI54" s="38">
        <f>SUMIFS(Assumptions!AI$66:AI$118,Assumptions!$F$66:$F$118,AssmStaffScenario,Assumptions!$G$66:$G$118,Calculations!$F54)</f>
        <v>1</v>
      </c>
      <c r="AJ54" s="38">
        <f>SUMIFS(Assumptions!AJ$66:AJ$118,Assumptions!$F$66:$F$118,AssmStaffScenario,Assumptions!$G$66:$G$118,Calculations!$F54)</f>
        <v>1</v>
      </c>
      <c r="AK54" s="38">
        <f>SUMIFS(Assumptions!AK$66:AK$118,Assumptions!$F$66:$F$118,AssmStaffScenario,Assumptions!$G$66:$G$118,Calculations!$F54)</f>
        <v>1</v>
      </c>
      <c r="AL54" s="38">
        <f>SUMIFS(Assumptions!AL$66:AL$118,Assumptions!$F$66:$F$118,AssmStaffScenario,Assumptions!$G$66:$G$118,Calculations!$F54)</f>
        <v>1</v>
      </c>
      <c r="AM54" s="38">
        <f>SUMIFS(Assumptions!AM$66:AM$118,Assumptions!$F$66:$F$118,AssmStaffScenario,Assumptions!$G$66:$G$118,Calculations!$F54)</f>
        <v>1</v>
      </c>
      <c r="AN54" s="38">
        <f>SUMIFS(Assumptions!AN$66:AN$118,Assumptions!$F$66:$F$118,AssmStaffScenario,Assumptions!$G$66:$G$118,Calculations!$F54)</f>
        <v>1</v>
      </c>
      <c r="AO54" s="38">
        <f>SUMIFS(Assumptions!AO$66:AO$118,Assumptions!$F$66:$F$118,AssmStaffScenario,Assumptions!$G$66:$G$118,Calculations!$F54)</f>
        <v>1</v>
      </c>
      <c r="AP54" s="38">
        <f>SUMIFS(Assumptions!AP$66:AP$118,Assumptions!$F$66:$F$118,AssmStaffScenario,Assumptions!$G$66:$G$118,Calculations!$F54)</f>
        <v>1</v>
      </c>
      <c r="AQ54" s="38">
        <f>SUMIFS(Assumptions!AQ$66:AQ$118,Assumptions!$F$66:$F$118,AssmStaffScenario,Assumptions!$G$66:$G$118,Calculations!$F54)</f>
        <v>1</v>
      </c>
      <c r="AR54" s="38">
        <f>SUMIFS(Assumptions!AR$66:AR$118,Assumptions!$F$66:$F$118,AssmStaffScenario,Assumptions!$G$66:$G$118,Calculations!$F54)</f>
        <v>1</v>
      </c>
      <c r="AS54" s="38">
        <f>SUMIFS(Assumptions!AS$66:AS$118,Assumptions!$F$66:$F$118,AssmStaffScenario,Assumptions!$G$66:$G$118,Calculations!$F54)</f>
        <v>1</v>
      </c>
      <c r="AT54" s="38">
        <f>SUMIFS(Assumptions!AT$66:AT$118,Assumptions!$F$66:$F$118,AssmStaffScenario,Assumptions!$G$66:$G$118,Calculations!$F54)</f>
        <v>1</v>
      </c>
      <c r="AU54" s="38">
        <f>SUMIFS(Assumptions!AU$66:AU$118,Assumptions!$F$66:$F$118,AssmStaffScenario,Assumptions!$G$66:$G$118,Calculations!$F54)</f>
        <v>1</v>
      </c>
      <c r="AV54" s="38">
        <f>SUMIFS(Assumptions!AV$66:AV$118,Assumptions!$F$66:$F$118,AssmStaffScenario,Assumptions!$G$66:$G$118,Calculations!$F54)</f>
        <v>1</v>
      </c>
      <c r="AW54" s="38">
        <f>SUMIFS(Assumptions!AW$66:AW$118,Assumptions!$F$66:$F$118,AssmStaffScenario,Assumptions!$G$66:$G$118,Calculations!$F54)</f>
        <v>1</v>
      </c>
      <c r="AX54" s="38">
        <f>SUMIFS(Assumptions!AX$66:AX$118,Assumptions!$F$66:$F$118,AssmStaffScenario,Assumptions!$G$66:$G$118,Calculations!$F54)</f>
        <v>1</v>
      </c>
      <c r="AY54" s="38">
        <f>SUMIFS(Assumptions!AY$66:AY$118,Assumptions!$F$66:$F$118,AssmStaffScenario,Assumptions!$G$66:$G$118,Calculations!$F54)</f>
        <v>1</v>
      </c>
      <c r="AZ54" s="38">
        <f>SUMIFS(Assumptions!AZ$66:AZ$118,Assumptions!$F$66:$F$118,AssmStaffScenario,Assumptions!$G$66:$G$118,Calculations!$F54)</f>
        <v>1</v>
      </c>
      <c r="BA54" s="38">
        <f>SUMIFS(Assumptions!BA$66:BA$118,Assumptions!$F$66:$F$118,AssmStaffScenario,Assumptions!$G$66:$G$118,Calculations!$F54)</f>
        <v>1</v>
      </c>
      <c r="BB54" s="38">
        <f>SUMIFS(Assumptions!BB$66:BB$118,Assumptions!$F$66:$F$118,AssmStaffScenario,Assumptions!$G$66:$G$118,Calculations!$F54)</f>
        <v>1</v>
      </c>
      <c r="BC54" s="38">
        <f>SUMIFS(Assumptions!BC$66:BC$118,Assumptions!$F$66:$F$118,AssmStaffScenario,Assumptions!$G$66:$G$118,Calculations!$F54)</f>
        <v>1</v>
      </c>
      <c r="BD54" s="38">
        <f>SUMIFS(Assumptions!BD$66:BD$118,Assumptions!$F$66:$F$118,AssmStaffScenario,Assumptions!$G$66:$G$118,Calculations!$F54)</f>
        <v>1</v>
      </c>
      <c r="BE54" s="38">
        <f>SUMIFS(Assumptions!BE$66:BE$118,Assumptions!$F$66:$F$118,AssmStaffScenario,Assumptions!$G$66:$G$118,Calculations!$F54)</f>
        <v>1</v>
      </c>
      <c r="BF54" s="38">
        <f>SUMIFS(Assumptions!BF$66:BF$118,Assumptions!$F$66:$F$118,AssmStaffScenario,Assumptions!$G$66:$G$118,Calculations!$F54)</f>
        <v>1</v>
      </c>
      <c r="BG54" s="38">
        <f>SUMIFS(Assumptions!BG$66:BG$118,Assumptions!$F$66:$F$118,AssmStaffScenario,Assumptions!$G$66:$G$118,Calculations!$F54)</f>
        <v>1</v>
      </c>
      <c r="BH54" s="38">
        <f>SUMIFS(Assumptions!BH$66:BH$118,Assumptions!$F$66:$F$118,AssmStaffScenario,Assumptions!$G$66:$G$118,Calculations!$F54)</f>
        <v>1</v>
      </c>
      <c r="BI54" s="38">
        <f>SUMIFS(Assumptions!BI$66:BI$118,Assumptions!$F$66:$F$118,AssmStaffScenario,Assumptions!$G$66:$G$118,Calculations!$F54)</f>
        <v>1</v>
      </c>
      <c r="BJ54" s="38">
        <f>SUMIFS(Assumptions!BJ$66:BJ$118,Assumptions!$F$66:$F$118,AssmStaffScenario,Assumptions!$G$66:$G$118,Calculations!$F54)</f>
        <v>1</v>
      </c>
      <c r="BK54" s="38">
        <f>SUMIFS(Assumptions!BK$66:BK$118,Assumptions!$F$66:$F$118,AssmStaffScenario,Assumptions!$G$66:$G$118,Calculations!$F54)</f>
        <v>1</v>
      </c>
      <c r="BL54" s="38">
        <f>SUMIFS(Assumptions!BL$66:BL$118,Assumptions!$F$66:$F$118,AssmStaffScenario,Assumptions!$G$66:$G$118,Calculations!$F54)</f>
        <v>1</v>
      </c>
      <c r="BM54" s="38">
        <f>SUMIFS(Assumptions!BM$66:BM$118,Assumptions!$F$66:$F$118,AssmStaffScenario,Assumptions!$G$66:$G$118,Calculations!$F54)</f>
        <v>1</v>
      </c>
      <c r="BN54" s="38">
        <f>SUMIFS(Assumptions!BN$66:BN$118,Assumptions!$F$66:$F$118,AssmStaffScenario,Assumptions!$G$66:$G$118,Calculations!$F54)</f>
        <v>1</v>
      </c>
      <c r="BO54" s="38">
        <f>SUMIFS(Assumptions!BO$66:BO$118,Assumptions!$F$66:$F$118,AssmStaffScenario,Assumptions!$G$66:$G$118,Calculations!$F54)</f>
        <v>1</v>
      </c>
      <c r="BP54" s="38">
        <f>SUMIFS(Assumptions!BP$66:BP$118,Assumptions!$F$66:$F$118,AssmStaffScenario,Assumptions!$G$66:$G$118,Calculations!$F54)</f>
        <v>1</v>
      </c>
    </row>
    <row r="55" spans="1:68" s="30" customFormat="1" ht="15" x14ac:dyDescent="0.25">
      <c r="F55" s="30" t="s">
        <v>102</v>
      </c>
      <c r="H55" s="37">
        <f>INDEX(tblStaff[Salary],MATCH(Calculations!F55,tblStaff[Staff],0))</f>
        <v>60000</v>
      </c>
      <c r="I55" s="38">
        <f>SUMIFS(Assumptions!I$66:I$118,Assumptions!$F$66:$F$118,AssmStaffScenario,Assumptions!$G$66:$G$118,Calculations!$F55)</f>
        <v>0</v>
      </c>
      <c r="J55" s="38">
        <f>SUMIFS(Assumptions!J$66:J$118,Assumptions!$F$66:$F$118,AssmStaffScenario,Assumptions!$G$66:$G$118,Calculations!$F55)</f>
        <v>0</v>
      </c>
      <c r="K55" s="38">
        <f>SUMIFS(Assumptions!K$66:K$118,Assumptions!$F$66:$F$118,AssmStaffScenario,Assumptions!$G$66:$G$118,Calculations!$F55)</f>
        <v>0</v>
      </c>
      <c r="L55" s="38">
        <f>SUMIFS(Assumptions!L$66:L$118,Assumptions!$F$66:$F$118,AssmStaffScenario,Assumptions!$G$66:$G$118,Calculations!$F55)</f>
        <v>0</v>
      </c>
      <c r="M55" s="38">
        <f>SUMIFS(Assumptions!M$66:M$118,Assumptions!$F$66:$F$118,AssmStaffScenario,Assumptions!$G$66:$G$118,Calculations!$F55)</f>
        <v>0</v>
      </c>
      <c r="N55" s="38">
        <f>SUMIFS(Assumptions!N$66:N$118,Assumptions!$F$66:$F$118,AssmStaffScenario,Assumptions!$G$66:$G$118,Calculations!$F55)</f>
        <v>1</v>
      </c>
      <c r="O55" s="38">
        <f>SUMIFS(Assumptions!O$66:O$118,Assumptions!$F$66:$F$118,AssmStaffScenario,Assumptions!$G$66:$G$118,Calculations!$F55)</f>
        <v>1</v>
      </c>
      <c r="P55" s="38">
        <f>SUMIFS(Assumptions!P$66:P$118,Assumptions!$F$66:$F$118,AssmStaffScenario,Assumptions!$G$66:$G$118,Calculations!$F55)</f>
        <v>1</v>
      </c>
      <c r="Q55" s="38">
        <f>SUMIFS(Assumptions!Q$66:Q$118,Assumptions!$F$66:$F$118,AssmStaffScenario,Assumptions!$G$66:$G$118,Calculations!$F55)</f>
        <v>1</v>
      </c>
      <c r="R55" s="38">
        <f>SUMIFS(Assumptions!R$66:R$118,Assumptions!$F$66:$F$118,AssmStaffScenario,Assumptions!$G$66:$G$118,Calculations!$F55)</f>
        <v>1</v>
      </c>
      <c r="S55" s="38">
        <f>SUMIFS(Assumptions!S$66:S$118,Assumptions!$F$66:$F$118,AssmStaffScenario,Assumptions!$G$66:$G$118,Calculations!$F55)</f>
        <v>2</v>
      </c>
      <c r="T55" s="38">
        <f>SUMIFS(Assumptions!T$66:T$118,Assumptions!$F$66:$F$118,AssmStaffScenario,Assumptions!$G$66:$G$118,Calculations!$F55)</f>
        <v>2</v>
      </c>
      <c r="U55" s="38">
        <f>SUMIFS(Assumptions!U$66:U$118,Assumptions!$F$66:$F$118,AssmStaffScenario,Assumptions!$G$66:$G$118,Calculations!$F55)</f>
        <v>2</v>
      </c>
      <c r="V55" s="38">
        <f>SUMIFS(Assumptions!V$66:V$118,Assumptions!$F$66:$F$118,AssmStaffScenario,Assumptions!$G$66:$G$118,Calculations!$F55)</f>
        <v>2</v>
      </c>
      <c r="W55" s="38">
        <f>SUMIFS(Assumptions!W$66:W$118,Assumptions!$F$66:$F$118,AssmStaffScenario,Assumptions!$G$66:$G$118,Calculations!$F55)</f>
        <v>2</v>
      </c>
      <c r="X55" s="38">
        <f>SUMIFS(Assumptions!X$66:X$118,Assumptions!$F$66:$F$118,AssmStaffScenario,Assumptions!$G$66:$G$118,Calculations!$F55)</f>
        <v>2</v>
      </c>
      <c r="Y55" s="38">
        <f>SUMIFS(Assumptions!Y$66:Y$118,Assumptions!$F$66:$F$118,AssmStaffScenario,Assumptions!$G$66:$G$118,Calculations!$F55)</f>
        <v>2</v>
      </c>
      <c r="Z55" s="38">
        <f>SUMIFS(Assumptions!Z$66:Z$118,Assumptions!$F$66:$F$118,AssmStaffScenario,Assumptions!$G$66:$G$118,Calculations!$F55)</f>
        <v>2</v>
      </c>
      <c r="AA55" s="38">
        <f>SUMIFS(Assumptions!AA$66:AA$118,Assumptions!$F$66:$F$118,AssmStaffScenario,Assumptions!$G$66:$G$118,Calculations!$F55)</f>
        <v>2</v>
      </c>
      <c r="AB55" s="38">
        <f>SUMIFS(Assumptions!AB$66:AB$118,Assumptions!$F$66:$F$118,AssmStaffScenario,Assumptions!$G$66:$G$118,Calculations!$F55)</f>
        <v>2</v>
      </c>
      <c r="AC55" s="38">
        <f>SUMIFS(Assumptions!AC$66:AC$118,Assumptions!$F$66:$F$118,AssmStaffScenario,Assumptions!$G$66:$G$118,Calculations!$F55)</f>
        <v>3</v>
      </c>
      <c r="AD55" s="38">
        <f>SUMIFS(Assumptions!AD$66:AD$118,Assumptions!$F$66:$F$118,AssmStaffScenario,Assumptions!$G$66:$G$118,Calculations!$F55)</f>
        <v>3</v>
      </c>
      <c r="AE55" s="38">
        <f>SUMIFS(Assumptions!AE$66:AE$118,Assumptions!$F$66:$F$118,AssmStaffScenario,Assumptions!$G$66:$G$118,Calculations!$F55)</f>
        <v>3</v>
      </c>
      <c r="AF55" s="38">
        <f>SUMIFS(Assumptions!AF$66:AF$118,Assumptions!$F$66:$F$118,AssmStaffScenario,Assumptions!$G$66:$G$118,Calculations!$F55)</f>
        <v>3</v>
      </c>
      <c r="AG55" s="38">
        <f>SUMIFS(Assumptions!AG$66:AG$118,Assumptions!$F$66:$F$118,AssmStaffScenario,Assumptions!$G$66:$G$118,Calculations!$F55)</f>
        <v>3</v>
      </c>
      <c r="AH55" s="38">
        <f>SUMIFS(Assumptions!AH$66:AH$118,Assumptions!$F$66:$F$118,AssmStaffScenario,Assumptions!$G$66:$G$118,Calculations!$F55)</f>
        <v>3</v>
      </c>
      <c r="AI55" s="38">
        <f>SUMIFS(Assumptions!AI$66:AI$118,Assumptions!$F$66:$F$118,AssmStaffScenario,Assumptions!$G$66:$G$118,Calculations!$F55)</f>
        <v>3</v>
      </c>
      <c r="AJ55" s="38">
        <f>SUMIFS(Assumptions!AJ$66:AJ$118,Assumptions!$F$66:$F$118,AssmStaffScenario,Assumptions!$G$66:$G$118,Calculations!$F55)</f>
        <v>3</v>
      </c>
      <c r="AK55" s="38">
        <f>SUMIFS(Assumptions!AK$66:AK$118,Assumptions!$F$66:$F$118,AssmStaffScenario,Assumptions!$G$66:$G$118,Calculations!$F55)</f>
        <v>4</v>
      </c>
      <c r="AL55" s="38">
        <f>SUMIFS(Assumptions!AL$66:AL$118,Assumptions!$F$66:$F$118,AssmStaffScenario,Assumptions!$G$66:$G$118,Calculations!$F55)</f>
        <v>4</v>
      </c>
      <c r="AM55" s="38">
        <f>SUMIFS(Assumptions!AM$66:AM$118,Assumptions!$F$66:$F$118,AssmStaffScenario,Assumptions!$G$66:$G$118,Calculations!$F55)</f>
        <v>4</v>
      </c>
      <c r="AN55" s="38">
        <f>SUMIFS(Assumptions!AN$66:AN$118,Assumptions!$F$66:$F$118,AssmStaffScenario,Assumptions!$G$66:$G$118,Calculations!$F55)</f>
        <v>4</v>
      </c>
      <c r="AO55" s="38">
        <f>SUMIFS(Assumptions!AO$66:AO$118,Assumptions!$F$66:$F$118,AssmStaffScenario,Assumptions!$G$66:$G$118,Calculations!$F55)</f>
        <v>4</v>
      </c>
      <c r="AP55" s="38">
        <f>SUMIFS(Assumptions!AP$66:AP$118,Assumptions!$F$66:$F$118,AssmStaffScenario,Assumptions!$G$66:$G$118,Calculations!$F55)</f>
        <v>4</v>
      </c>
      <c r="AQ55" s="38">
        <f>SUMIFS(Assumptions!AQ$66:AQ$118,Assumptions!$F$66:$F$118,AssmStaffScenario,Assumptions!$G$66:$G$118,Calculations!$F55)</f>
        <v>4</v>
      </c>
      <c r="AR55" s="38">
        <f>SUMIFS(Assumptions!AR$66:AR$118,Assumptions!$F$66:$F$118,AssmStaffScenario,Assumptions!$G$66:$G$118,Calculations!$F55)</f>
        <v>4</v>
      </c>
      <c r="AS55" s="38">
        <f>SUMIFS(Assumptions!AS$66:AS$118,Assumptions!$F$66:$F$118,AssmStaffScenario,Assumptions!$G$66:$G$118,Calculations!$F55)</f>
        <v>4</v>
      </c>
      <c r="AT55" s="38">
        <f>SUMIFS(Assumptions!AT$66:AT$118,Assumptions!$F$66:$F$118,AssmStaffScenario,Assumptions!$G$66:$G$118,Calculations!$F55)</f>
        <v>4</v>
      </c>
      <c r="AU55" s="38">
        <f>SUMIFS(Assumptions!AU$66:AU$118,Assumptions!$F$66:$F$118,AssmStaffScenario,Assumptions!$G$66:$G$118,Calculations!$F55)</f>
        <v>4</v>
      </c>
      <c r="AV55" s="38">
        <f>SUMIFS(Assumptions!AV$66:AV$118,Assumptions!$F$66:$F$118,AssmStaffScenario,Assumptions!$G$66:$G$118,Calculations!$F55)</f>
        <v>4</v>
      </c>
      <c r="AW55" s="38">
        <f>SUMIFS(Assumptions!AW$66:AW$118,Assumptions!$F$66:$F$118,AssmStaffScenario,Assumptions!$G$66:$G$118,Calculations!$F55)</f>
        <v>4</v>
      </c>
      <c r="AX55" s="38">
        <f>SUMIFS(Assumptions!AX$66:AX$118,Assumptions!$F$66:$F$118,AssmStaffScenario,Assumptions!$G$66:$G$118,Calculations!$F55)</f>
        <v>4</v>
      </c>
      <c r="AY55" s="38">
        <f>SUMIFS(Assumptions!AY$66:AY$118,Assumptions!$F$66:$F$118,AssmStaffScenario,Assumptions!$G$66:$G$118,Calculations!$F55)</f>
        <v>4</v>
      </c>
      <c r="AZ55" s="38">
        <f>SUMIFS(Assumptions!AZ$66:AZ$118,Assumptions!$F$66:$F$118,AssmStaffScenario,Assumptions!$G$66:$G$118,Calculations!$F55)</f>
        <v>4</v>
      </c>
      <c r="BA55" s="38">
        <f>SUMIFS(Assumptions!BA$66:BA$118,Assumptions!$F$66:$F$118,AssmStaffScenario,Assumptions!$G$66:$G$118,Calculations!$F55)</f>
        <v>4</v>
      </c>
      <c r="BB55" s="38">
        <f>SUMIFS(Assumptions!BB$66:BB$118,Assumptions!$F$66:$F$118,AssmStaffScenario,Assumptions!$G$66:$G$118,Calculations!$F55)</f>
        <v>4</v>
      </c>
      <c r="BC55" s="38">
        <f>SUMIFS(Assumptions!BC$66:BC$118,Assumptions!$F$66:$F$118,AssmStaffScenario,Assumptions!$G$66:$G$118,Calculations!$F55)</f>
        <v>4</v>
      </c>
      <c r="BD55" s="38">
        <f>SUMIFS(Assumptions!BD$66:BD$118,Assumptions!$F$66:$F$118,AssmStaffScenario,Assumptions!$G$66:$G$118,Calculations!$F55)</f>
        <v>4</v>
      </c>
      <c r="BE55" s="38">
        <f>SUMIFS(Assumptions!BE$66:BE$118,Assumptions!$F$66:$F$118,AssmStaffScenario,Assumptions!$G$66:$G$118,Calculations!$F55)</f>
        <v>4</v>
      </c>
      <c r="BF55" s="38">
        <f>SUMIFS(Assumptions!BF$66:BF$118,Assumptions!$F$66:$F$118,AssmStaffScenario,Assumptions!$G$66:$G$118,Calculations!$F55)</f>
        <v>4</v>
      </c>
      <c r="BG55" s="38">
        <f>SUMIFS(Assumptions!BG$66:BG$118,Assumptions!$F$66:$F$118,AssmStaffScenario,Assumptions!$G$66:$G$118,Calculations!$F55)</f>
        <v>4</v>
      </c>
      <c r="BH55" s="38">
        <f>SUMIFS(Assumptions!BH$66:BH$118,Assumptions!$F$66:$F$118,AssmStaffScenario,Assumptions!$G$66:$G$118,Calculations!$F55)</f>
        <v>4</v>
      </c>
      <c r="BI55" s="38">
        <f>SUMIFS(Assumptions!BI$66:BI$118,Assumptions!$F$66:$F$118,AssmStaffScenario,Assumptions!$G$66:$G$118,Calculations!$F55)</f>
        <v>4</v>
      </c>
      <c r="BJ55" s="38">
        <f>SUMIFS(Assumptions!BJ$66:BJ$118,Assumptions!$F$66:$F$118,AssmStaffScenario,Assumptions!$G$66:$G$118,Calculations!$F55)</f>
        <v>4</v>
      </c>
      <c r="BK55" s="38">
        <f>SUMIFS(Assumptions!BK$66:BK$118,Assumptions!$F$66:$F$118,AssmStaffScenario,Assumptions!$G$66:$G$118,Calculations!$F55)</f>
        <v>4</v>
      </c>
      <c r="BL55" s="38">
        <f>SUMIFS(Assumptions!BL$66:BL$118,Assumptions!$F$66:$F$118,AssmStaffScenario,Assumptions!$G$66:$G$118,Calculations!$F55)</f>
        <v>4</v>
      </c>
      <c r="BM55" s="38">
        <f>SUMIFS(Assumptions!BM$66:BM$118,Assumptions!$F$66:$F$118,AssmStaffScenario,Assumptions!$G$66:$G$118,Calculations!$F55)</f>
        <v>4</v>
      </c>
      <c r="BN55" s="38">
        <f>SUMIFS(Assumptions!BN$66:BN$118,Assumptions!$F$66:$F$118,AssmStaffScenario,Assumptions!$G$66:$G$118,Calculations!$F55)</f>
        <v>4</v>
      </c>
      <c r="BO55" s="38">
        <f>SUMIFS(Assumptions!BO$66:BO$118,Assumptions!$F$66:$F$118,AssmStaffScenario,Assumptions!$G$66:$G$118,Calculations!$F55)</f>
        <v>4</v>
      </c>
      <c r="BP55" s="38">
        <f>SUMIFS(Assumptions!BP$66:BP$118,Assumptions!$F$66:$F$118,AssmStaffScenario,Assumptions!$G$66:$G$118,Calculations!$F55)</f>
        <v>4</v>
      </c>
    </row>
    <row r="56" spans="1:68" s="30" customFormat="1" ht="15" x14ac:dyDescent="0.25">
      <c r="F56" s="30" t="s">
        <v>103</v>
      </c>
      <c r="H56" s="37">
        <f>INDEX(tblStaff[Salary],MATCH(Calculations!F56,tblStaff[Staff],0))</f>
        <v>60000</v>
      </c>
      <c r="I56" s="38">
        <f>SUMIFS(Assumptions!I$66:I$118,Assumptions!$F$66:$F$118,AssmStaffScenario,Assumptions!$G$66:$G$118,Calculations!$F56)</f>
        <v>0.2</v>
      </c>
      <c r="J56" s="38">
        <f>SUMIFS(Assumptions!J$66:J$118,Assumptions!$F$66:$F$118,AssmStaffScenario,Assumptions!$G$66:$G$118,Calculations!$F56)</f>
        <v>0.2</v>
      </c>
      <c r="K56" s="38">
        <f>SUMIFS(Assumptions!K$66:K$118,Assumptions!$F$66:$F$118,AssmStaffScenario,Assumptions!$G$66:$G$118,Calculations!$F56)</f>
        <v>0.5</v>
      </c>
      <c r="L56" s="38">
        <f>SUMIFS(Assumptions!L$66:L$118,Assumptions!$F$66:$F$118,AssmStaffScenario,Assumptions!$G$66:$G$118,Calculations!$F56)</f>
        <v>1</v>
      </c>
      <c r="M56" s="38">
        <f>SUMIFS(Assumptions!M$66:M$118,Assumptions!$F$66:$F$118,AssmStaffScenario,Assumptions!$G$66:$G$118,Calculations!$F56)</f>
        <v>1</v>
      </c>
      <c r="N56" s="38">
        <f>SUMIFS(Assumptions!N$66:N$118,Assumptions!$F$66:$F$118,AssmStaffScenario,Assumptions!$G$66:$G$118,Calculations!$F56)</f>
        <v>1</v>
      </c>
      <c r="O56" s="38">
        <f>SUMIFS(Assumptions!O$66:O$118,Assumptions!$F$66:$F$118,AssmStaffScenario,Assumptions!$G$66:$G$118,Calculations!$F56)</f>
        <v>1</v>
      </c>
      <c r="P56" s="38">
        <f>SUMIFS(Assumptions!P$66:P$118,Assumptions!$F$66:$F$118,AssmStaffScenario,Assumptions!$G$66:$G$118,Calculations!$F56)</f>
        <v>1</v>
      </c>
      <c r="Q56" s="38">
        <f>SUMIFS(Assumptions!Q$66:Q$118,Assumptions!$F$66:$F$118,AssmStaffScenario,Assumptions!$G$66:$G$118,Calculations!$F56)</f>
        <v>1</v>
      </c>
      <c r="R56" s="38">
        <f>SUMIFS(Assumptions!R$66:R$118,Assumptions!$F$66:$F$118,AssmStaffScenario,Assumptions!$G$66:$G$118,Calculations!$F56)</f>
        <v>1</v>
      </c>
      <c r="S56" s="38">
        <f>SUMIFS(Assumptions!S$66:S$118,Assumptions!$F$66:$F$118,AssmStaffScenario,Assumptions!$G$66:$G$118,Calculations!$F56)</f>
        <v>1</v>
      </c>
      <c r="T56" s="38">
        <f>SUMIFS(Assumptions!T$66:T$118,Assumptions!$F$66:$F$118,AssmStaffScenario,Assumptions!$G$66:$G$118,Calculations!$F56)</f>
        <v>2</v>
      </c>
      <c r="U56" s="38">
        <f>SUMIFS(Assumptions!U$66:U$118,Assumptions!$F$66:$F$118,AssmStaffScenario,Assumptions!$G$66:$G$118,Calculations!$F56)</f>
        <v>2</v>
      </c>
      <c r="V56" s="38">
        <f>SUMIFS(Assumptions!V$66:V$118,Assumptions!$F$66:$F$118,AssmStaffScenario,Assumptions!$G$66:$G$118,Calculations!$F56)</f>
        <v>2</v>
      </c>
      <c r="W56" s="38">
        <f>SUMIFS(Assumptions!W$66:W$118,Assumptions!$F$66:$F$118,AssmStaffScenario,Assumptions!$G$66:$G$118,Calculations!$F56)</f>
        <v>3</v>
      </c>
      <c r="X56" s="38">
        <f>SUMIFS(Assumptions!X$66:X$118,Assumptions!$F$66:$F$118,AssmStaffScenario,Assumptions!$G$66:$G$118,Calculations!$F56)</f>
        <v>3</v>
      </c>
      <c r="Y56" s="38">
        <f>SUMIFS(Assumptions!Y$66:Y$118,Assumptions!$F$66:$F$118,AssmStaffScenario,Assumptions!$G$66:$G$118,Calculations!$F56)</f>
        <v>3</v>
      </c>
      <c r="Z56" s="38">
        <f>SUMIFS(Assumptions!Z$66:Z$118,Assumptions!$F$66:$F$118,AssmStaffScenario,Assumptions!$G$66:$G$118,Calculations!$F56)</f>
        <v>4</v>
      </c>
      <c r="AA56" s="38">
        <f>SUMIFS(Assumptions!AA$66:AA$118,Assumptions!$F$66:$F$118,AssmStaffScenario,Assumptions!$G$66:$G$118,Calculations!$F56)</f>
        <v>4</v>
      </c>
      <c r="AB56" s="38">
        <f>SUMIFS(Assumptions!AB$66:AB$118,Assumptions!$F$66:$F$118,AssmStaffScenario,Assumptions!$G$66:$G$118,Calculations!$F56)</f>
        <v>4</v>
      </c>
      <c r="AC56" s="38">
        <f>SUMIFS(Assumptions!AC$66:AC$118,Assumptions!$F$66:$F$118,AssmStaffScenario,Assumptions!$G$66:$G$118,Calculations!$F56)</f>
        <v>5</v>
      </c>
      <c r="AD56" s="38">
        <f>SUMIFS(Assumptions!AD$66:AD$118,Assumptions!$F$66:$F$118,AssmStaffScenario,Assumptions!$G$66:$G$118,Calculations!$F56)</f>
        <v>5</v>
      </c>
      <c r="AE56" s="38">
        <f>SUMIFS(Assumptions!AE$66:AE$118,Assumptions!$F$66:$F$118,AssmStaffScenario,Assumptions!$G$66:$G$118,Calculations!$F56)</f>
        <v>5</v>
      </c>
      <c r="AF56" s="38">
        <f>SUMIFS(Assumptions!AF$66:AF$118,Assumptions!$F$66:$F$118,AssmStaffScenario,Assumptions!$G$66:$G$118,Calculations!$F56)</f>
        <v>6</v>
      </c>
      <c r="AG56" s="38">
        <f>SUMIFS(Assumptions!AG$66:AG$118,Assumptions!$F$66:$F$118,AssmStaffScenario,Assumptions!$G$66:$G$118,Calculations!$F56)</f>
        <v>6</v>
      </c>
      <c r="AH56" s="38">
        <f>SUMIFS(Assumptions!AH$66:AH$118,Assumptions!$F$66:$F$118,AssmStaffScenario,Assumptions!$G$66:$G$118,Calculations!$F56)</f>
        <v>6</v>
      </c>
      <c r="AI56" s="38">
        <f>SUMIFS(Assumptions!AI$66:AI$118,Assumptions!$F$66:$F$118,AssmStaffScenario,Assumptions!$G$66:$G$118,Calculations!$F56)</f>
        <v>7</v>
      </c>
      <c r="AJ56" s="38">
        <f>SUMIFS(Assumptions!AJ$66:AJ$118,Assumptions!$F$66:$F$118,AssmStaffScenario,Assumptions!$G$66:$G$118,Calculations!$F56)</f>
        <v>7</v>
      </c>
      <c r="AK56" s="38">
        <f>SUMIFS(Assumptions!AK$66:AK$118,Assumptions!$F$66:$F$118,AssmStaffScenario,Assumptions!$G$66:$G$118,Calculations!$F56)</f>
        <v>7</v>
      </c>
      <c r="AL56" s="38">
        <f>SUMIFS(Assumptions!AL$66:AL$118,Assumptions!$F$66:$F$118,AssmStaffScenario,Assumptions!$G$66:$G$118,Calculations!$F56)</f>
        <v>8</v>
      </c>
      <c r="AM56" s="38">
        <f>SUMIFS(Assumptions!AM$66:AM$118,Assumptions!$F$66:$F$118,AssmStaffScenario,Assumptions!$G$66:$G$118,Calculations!$F56)</f>
        <v>8</v>
      </c>
      <c r="AN56" s="38">
        <f>SUMIFS(Assumptions!AN$66:AN$118,Assumptions!$F$66:$F$118,AssmStaffScenario,Assumptions!$G$66:$G$118,Calculations!$F56)</f>
        <v>8</v>
      </c>
      <c r="AO56" s="38">
        <f>SUMIFS(Assumptions!AO$66:AO$118,Assumptions!$F$66:$F$118,AssmStaffScenario,Assumptions!$G$66:$G$118,Calculations!$F56)</f>
        <v>9</v>
      </c>
      <c r="AP56" s="38">
        <f>SUMIFS(Assumptions!AP$66:AP$118,Assumptions!$F$66:$F$118,AssmStaffScenario,Assumptions!$G$66:$G$118,Calculations!$F56)</f>
        <v>9</v>
      </c>
      <c r="AQ56" s="38">
        <f>SUMIFS(Assumptions!AQ$66:AQ$118,Assumptions!$F$66:$F$118,AssmStaffScenario,Assumptions!$G$66:$G$118,Calculations!$F56)</f>
        <v>9</v>
      </c>
      <c r="AR56" s="38">
        <f>SUMIFS(Assumptions!AR$66:AR$118,Assumptions!$F$66:$F$118,AssmStaffScenario,Assumptions!$G$66:$G$118,Calculations!$F56)</f>
        <v>10</v>
      </c>
      <c r="AS56" s="38">
        <f>SUMIFS(Assumptions!AS$66:AS$118,Assumptions!$F$66:$F$118,AssmStaffScenario,Assumptions!$G$66:$G$118,Calculations!$F56)</f>
        <v>10</v>
      </c>
      <c r="AT56" s="38">
        <f>SUMIFS(Assumptions!AT$66:AT$118,Assumptions!$F$66:$F$118,AssmStaffScenario,Assumptions!$G$66:$G$118,Calculations!$F56)</f>
        <v>10</v>
      </c>
      <c r="AU56" s="38">
        <f>SUMIFS(Assumptions!AU$66:AU$118,Assumptions!$F$66:$F$118,AssmStaffScenario,Assumptions!$G$66:$G$118,Calculations!$F56)</f>
        <v>10</v>
      </c>
      <c r="AV56" s="38">
        <f>SUMIFS(Assumptions!AV$66:AV$118,Assumptions!$F$66:$F$118,AssmStaffScenario,Assumptions!$G$66:$G$118,Calculations!$F56)</f>
        <v>10</v>
      </c>
      <c r="AW56" s="38">
        <f>SUMIFS(Assumptions!AW$66:AW$118,Assumptions!$F$66:$F$118,AssmStaffScenario,Assumptions!$G$66:$G$118,Calculations!$F56)</f>
        <v>10</v>
      </c>
      <c r="AX56" s="38">
        <f>SUMIFS(Assumptions!AX$66:AX$118,Assumptions!$F$66:$F$118,AssmStaffScenario,Assumptions!$G$66:$G$118,Calculations!$F56)</f>
        <v>10</v>
      </c>
      <c r="AY56" s="38">
        <f>SUMIFS(Assumptions!AY$66:AY$118,Assumptions!$F$66:$F$118,AssmStaffScenario,Assumptions!$G$66:$G$118,Calculations!$F56)</f>
        <v>10</v>
      </c>
      <c r="AZ56" s="38">
        <f>SUMIFS(Assumptions!AZ$66:AZ$118,Assumptions!$F$66:$F$118,AssmStaffScenario,Assumptions!$G$66:$G$118,Calculations!$F56)</f>
        <v>10</v>
      </c>
      <c r="BA56" s="38">
        <f>SUMIFS(Assumptions!BA$66:BA$118,Assumptions!$F$66:$F$118,AssmStaffScenario,Assumptions!$G$66:$G$118,Calculations!$F56)</f>
        <v>10</v>
      </c>
      <c r="BB56" s="38">
        <f>SUMIFS(Assumptions!BB$66:BB$118,Assumptions!$F$66:$F$118,AssmStaffScenario,Assumptions!$G$66:$G$118,Calculations!$F56)</f>
        <v>10</v>
      </c>
      <c r="BC56" s="38">
        <f>SUMIFS(Assumptions!BC$66:BC$118,Assumptions!$F$66:$F$118,AssmStaffScenario,Assumptions!$G$66:$G$118,Calculations!$F56)</f>
        <v>10</v>
      </c>
      <c r="BD56" s="38">
        <f>SUMIFS(Assumptions!BD$66:BD$118,Assumptions!$F$66:$F$118,AssmStaffScenario,Assumptions!$G$66:$G$118,Calculations!$F56)</f>
        <v>10</v>
      </c>
      <c r="BE56" s="38">
        <f>SUMIFS(Assumptions!BE$66:BE$118,Assumptions!$F$66:$F$118,AssmStaffScenario,Assumptions!$G$66:$G$118,Calculations!$F56)</f>
        <v>10</v>
      </c>
      <c r="BF56" s="38">
        <f>SUMIFS(Assumptions!BF$66:BF$118,Assumptions!$F$66:$F$118,AssmStaffScenario,Assumptions!$G$66:$G$118,Calculations!$F56)</f>
        <v>10</v>
      </c>
      <c r="BG56" s="38">
        <f>SUMIFS(Assumptions!BG$66:BG$118,Assumptions!$F$66:$F$118,AssmStaffScenario,Assumptions!$G$66:$G$118,Calculations!$F56)</f>
        <v>10</v>
      </c>
      <c r="BH56" s="38">
        <f>SUMIFS(Assumptions!BH$66:BH$118,Assumptions!$F$66:$F$118,AssmStaffScenario,Assumptions!$G$66:$G$118,Calculations!$F56)</f>
        <v>10</v>
      </c>
      <c r="BI56" s="38">
        <f>SUMIFS(Assumptions!BI$66:BI$118,Assumptions!$F$66:$F$118,AssmStaffScenario,Assumptions!$G$66:$G$118,Calculations!$F56)</f>
        <v>10</v>
      </c>
      <c r="BJ56" s="38">
        <f>SUMIFS(Assumptions!BJ$66:BJ$118,Assumptions!$F$66:$F$118,AssmStaffScenario,Assumptions!$G$66:$G$118,Calculations!$F56)</f>
        <v>10</v>
      </c>
      <c r="BK56" s="38">
        <f>SUMIFS(Assumptions!BK$66:BK$118,Assumptions!$F$66:$F$118,AssmStaffScenario,Assumptions!$G$66:$G$118,Calculations!$F56)</f>
        <v>10</v>
      </c>
      <c r="BL56" s="38">
        <f>SUMIFS(Assumptions!BL$66:BL$118,Assumptions!$F$66:$F$118,AssmStaffScenario,Assumptions!$G$66:$G$118,Calculations!$F56)</f>
        <v>10</v>
      </c>
      <c r="BM56" s="38">
        <f>SUMIFS(Assumptions!BM$66:BM$118,Assumptions!$F$66:$F$118,AssmStaffScenario,Assumptions!$G$66:$G$118,Calculations!$F56)</f>
        <v>10</v>
      </c>
      <c r="BN56" s="38">
        <f>SUMIFS(Assumptions!BN$66:BN$118,Assumptions!$F$66:$F$118,AssmStaffScenario,Assumptions!$G$66:$G$118,Calculations!$F56)</f>
        <v>10</v>
      </c>
      <c r="BO56" s="38">
        <f>SUMIFS(Assumptions!BO$66:BO$118,Assumptions!$F$66:$F$118,AssmStaffScenario,Assumptions!$G$66:$G$118,Calculations!$F56)</f>
        <v>10</v>
      </c>
      <c r="BP56" s="38">
        <f>SUMIFS(Assumptions!BP$66:BP$118,Assumptions!$F$66:$F$118,AssmStaffScenario,Assumptions!$G$66:$G$118,Calculations!$F56)</f>
        <v>10</v>
      </c>
    </row>
    <row r="57" spans="1:68" s="30" customFormat="1" ht="15" x14ac:dyDescent="0.25"/>
    <row r="58" spans="1:68" s="30" customFormat="1" ht="15" x14ac:dyDescent="0.25">
      <c r="D58" s="31" t="s">
        <v>104</v>
      </c>
      <c r="I58" s="37">
        <f>SUMPRODUCT(I53:I56,$H53:$H56)/12</f>
        <v>13500</v>
      </c>
      <c r="J58" s="37">
        <f t="shared" ref="J58:BP58" si="11">SUMPRODUCT(J53:J56,$H53:$H56)/12</f>
        <v>13500</v>
      </c>
      <c r="K58" s="37">
        <f t="shared" si="11"/>
        <v>21666.666666666668</v>
      </c>
      <c r="L58" s="37">
        <f t="shared" si="11"/>
        <v>24166.666666666668</v>
      </c>
      <c r="M58" s="37">
        <f t="shared" si="11"/>
        <v>24166.666666666668</v>
      </c>
      <c r="N58" s="37">
        <f t="shared" si="11"/>
        <v>29166.666666666668</v>
      </c>
      <c r="O58" s="37">
        <f t="shared" si="11"/>
        <v>29166.666666666668</v>
      </c>
      <c r="P58" s="37">
        <f t="shared" si="11"/>
        <v>29166.666666666668</v>
      </c>
      <c r="Q58" s="37">
        <f t="shared" si="11"/>
        <v>29166.666666666668</v>
      </c>
      <c r="R58" s="37">
        <f t="shared" si="11"/>
        <v>29166.666666666668</v>
      </c>
      <c r="S58" s="37">
        <f t="shared" si="11"/>
        <v>34166.666666666664</v>
      </c>
      <c r="T58" s="37">
        <f t="shared" si="11"/>
        <v>39166.666666666664</v>
      </c>
      <c r="U58" s="37">
        <f t="shared" si="11"/>
        <v>39166.666666666664</v>
      </c>
      <c r="V58" s="37">
        <f t="shared" si="11"/>
        <v>39166.666666666664</v>
      </c>
      <c r="W58" s="37">
        <f t="shared" si="11"/>
        <v>44166.666666666664</v>
      </c>
      <c r="X58" s="37">
        <f t="shared" si="11"/>
        <v>44166.666666666664</v>
      </c>
      <c r="Y58" s="37">
        <f t="shared" si="11"/>
        <v>44166.666666666664</v>
      </c>
      <c r="Z58" s="37">
        <f t="shared" si="11"/>
        <v>49166.666666666664</v>
      </c>
      <c r="AA58" s="37">
        <f t="shared" si="11"/>
        <v>49166.666666666664</v>
      </c>
      <c r="AB58" s="37">
        <f t="shared" si="11"/>
        <v>49166.666666666664</v>
      </c>
      <c r="AC58" s="37">
        <f t="shared" si="11"/>
        <v>59166.666666666664</v>
      </c>
      <c r="AD58" s="37">
        <f t="shared" si="11"/>
        <v>59166.666666666664</v>
      </c>
      <c r="AE58" s="37">
        <f t="shared" si="11"/>
        <v>59166.666666666664</v>
      </c>
      <c r="AF58" s="37">
        <f t="shared" si="11"/>
        <v>64166.666666666664</v>
      </c>
      <c r="AG58" s="37">
        <f t="shared" si="11"/>
        <v>64166.666666666664</v>
      </c>
      <c r="AH58" s="37">
        <f t="shared" si="11"/>
        <v>64166.666666666664</v>
      </c>
      <c r="AI58" s="37">
        <f t="shared" si="11"/>
        <v>69166.666666666672</v>
      </c>
      <c r="AJ58" s="37">
        <f t="shared" si="11"/>
        <v>69166.666666666672</v>
      </c>
      <c r="AK58" s="37">
        <f t="shared" si="11"/>
        <v>74166.666666666672</v>
      </c>
      <c r="AL58" s="37">
        <f t="shared" si="11"/>
        <v>79166.666666666672</v>
      </c>
      <c r="AM58" s="37">
        <f t="shared" si="11"/>
        <v>79166.666666666672</v>
      </c>
      <c r="AN58" s="37">
        <f t="shared" si="11"/>
        <v>79166.666666666672</v>
      </c>
      <c r="AO58" s="37">
        <f t="shared" si="11"/>
        <v>84166.666666666672</v>
      </c>
      <c r="AP58" s="37">
        <f t="shared" si="11"/>
        <v>84166.666666666672</v>
      </c>
      <c r="AQ58" s="37">
        <f t="shared" si="11"/>
        <v>84166.666666666672</v>
      </c>
      <c r="AR58" s="37">
        <f t="shared" si="11"/>
        <v>89166.666666666672</v>
      </c>
      <c r="AS58" s="37">
        <f t="shared" si="11"/>
        <v>89166.666666666672</v>
      </c>
      <c r="AT58" s="37">
        <f t="shared" si="11"/>
        <v>89166.666666666672</v>
      </c>
      <c r="AU58" s="37">
        <f t="shared" si="11"/>
        <v>89166.666666666672</v>
      </c>
      <c r="AV58" s="37">
        <f t="shared" si="11"/>
        <v>89166.666666666672</v>
      </c>
      <c r="AW58" s="37">
        <f t="shared" si="11"/>
        <v>89166.666666666672</v>
      </c>
      <c r="AX58" s="37">
        <f t="shared" si="11"/>
        <v>89166.666666666672</v>
      </c>
      <c r="AY58" s="37">
        <f t="shared" si="11"/>
        <v>89166.666666666672</v>
      </c>
      <c r="AZ58" s="37">
        <f t="shared" si="11"/>
        <v>89166.666666666672</v>
      </c>
      <c r="BA58" s="37">
        <f t="shared" si="11"/>
        <v>89166.666666666672</v>
      </c>
      <c r="BB58" s="37">
        <f t="shared" si="11"/>
        <v>89166.666666666672</v>
      </c>
      <c r="BC58" s="37">
        <f t="shared" si="11"/>
        <v>89166.666666666672</v>
      </c>
      <c r="BD58" s="37">
        <f t="shared" si="11"/>
        <v>89166.666666666672</v>
      </c>
      <c r="BE58" s="37">
        <f t="shared" si="11"/>
        <v>89166.666666666672</v>
      </c>
      <c r="BF58" s="37">
        <f t="shared" si="11"/>
        <v>89166.666666666672</v>
      </c>
      <c r="BG58" s="37">
        <f t="shared" si="11"/>
        <v>89166.666666666672</v>
      </c>
      <c r="BH58" s="37">
        <f t="shared" si="11"/>
        <v>89166.666666666672</v>
      </c>
      <c r="BI58" s="37">
        <f t="shared" si="11"/>
        <v>89166.666666666672</v>
      </c>
      <c r="BJ58" s="37">
        <f t="shared" si="11"/>
        <v>89166.666666666672</v>
      </c>
      <c r="BK58" s="37">
        <f t="shared" si="11"/>
        <v>89166.666666666672</v>
      </c>
      <c r="BL58" s="37">
        <f t="shared" si="11"/>
        <v>89166.666666666672</v>
      </c>
      <c r="BM58" s="37">
        <f t="shared" si="11"/>
        <v>89166.666666666672</v>
      </c>
      <c r="BN58" s="37">
        <f t="shared" si="11"/>
        <v>89166.666666666672</v>
      </c>
      <c r="BO58" s="37">
        <f t="shared" si="11"/>
        <v>89166.666666666672</v>
      </c>
      <c r="BP58" s="37">
        <f t="shared" si="11"/>
        <v>89166.666666666672</v>
      </c>
    </row>
    <row r="59" spans="1:68" s="30" customFormat="1" ht="15" x14ac:dyDescent="0.25"/>
    <row r="60" spans="1:68" s="30" customFormat="1" ht="15" x14ac:dyDescent="0.25">
      <c r="D60" s="31" t="s">
        <v>105</v>
      </c>
    </row>
    <row r="61" spans="1:68" s="30" customFormat="1" ht="15" x14ac:dyDescent="0.25">
      <c r="D61" s="31"/>
      <c r="E61" s="30" t="s">
        <v>106</v>
      </c>
      <c r="H61" s="27" t="s">
        <v>105</v>
      </c>
      <c r="I61" s="36">
        <f>SUMIFS(INDEX(tblAnnualAssm[],,MATCH(TEXT(Calculations!I$8,"0"),tblAnnualAssm[#Headers],0)),tblAnnualAssm[Case],AssmBusinessCase,tblAnnualAssm[Input Type],$H61)</f>
        <v>600</v>
      </c>
      <c r="J61" s="36">
        <f>SUMIFS(INDEX(tblAnnualAssm[],,MATCH(TEXT(Calculations!J$8,"0"),tblAnnualAssm[#Headers],0)),tblAnnualAssm[Case],AssmBusinessCase,tblAnnualAssm[Input Type],$H61)</f>
        <v>600</v>
      </c>
      <c r="K61" s="36">
        <f>SUMIFS(INDEX(tblAnnualAssm[],,MATCH(TEXT(Calculations!K$8,"0"),tblAnnualAssm[#Headers],0)),tblAnnualAssm[Case],AssmBusinessCase,tblAnnualAssm[Input Type],$H61)</f>
        <v>600</v>
      </c>
      <c r="L61" s="36">
        <f>SUMIFS(INDEX(tblAnnualAssm[],,MATCH(TEXT(Calculations!L$8,"0"),tblAnnualAssm[#Headers],0)),tblAnnualAssm[Case],AssmBusinessCase,tblAnnualAssm[Input Type],$H61)</f>
        <v>600</v>
      </c>
      <c r="M61" s="36">
        <f>SUMIFS(INDEX(tblAnnualAssm[],,MATCH(TEXT(Calculations!M$8,"0"),tblAnnualAssm[#Headers],0)),tblAnnualAssm[Case],AssmBusinessCase,tblAnnualAssm[Input Type],$H61)</f>
        <v>600</v>
      </c>
      <c r="N61" s="36">
        <f>SUMIFS(INDEX(tblAnnualAssm[],,MATCH(TEXT(Calculations!N$8,"0"),tblAnnualAssm[#Headers],0)),tblAnnualAssm[Case],AssmBusinessCase,tblAnnualAssm[Input Type],$H61)</f>
        <v>600</v>
      </c>
      <c r="O61" s="36">
        <f>SUMIFS(INDEX(tblAnnualAssm[],,MATCH(TEXT(Calculations!O$8,"0"),tblAnnualAssm[#Headers],0)),tblAnnualAssm[Case],AssmBusinessCase,tblAnnualAssm[Input Type],$H61)</f>
        <v>600</v>
      </c>
      <c r="P61" s="36">
        <f>SUMIFS(INDEX(tblAnnualAssm[],,MATCH(TEXT(Calculations!P$8,"0"),tblAnnualAssm[#Headers],0)),tblAnnualAssm[Case],AssmBusinessCase,tblAnnualAssm[Input Type],$H61)</f>
        <v>600</v>
      </c>
      <c r="Q61" s="36">
        <f>SUMIFS(INDEX(tblAnnualAssm[],,MATCH(TEXT(Calculations!Q$8,"0"),tblAnnualAssm[#Headers],0)),tblAnnualAssm[Case],AssmBusinessCase,tblAnnualAssm[Input Type],$H61)</f>
        <v>600</v>
      </c>
      <c r="R61" s="36">
        <f>SUMIFS(INDEX(tblAnnualAssm[],,MATCH(TEXT(Calculations!R$8,"0"),tblAnnualAssm[#Headers],0)),tblAnnualAssm[Case],AssmBusinessCase,tblAnnualAssm[Input Type],$H61)</f>
        <v>600</v>
      </c>
      <c r="S61" s="36">
        <f>SUMIFS(INDEX(tblAnnualAssm[],,MATCH(TEXT(Calculations!S$8,"0"),tblAnnualAssm[#Headers],0)),tblAnnualAssm[Case],AssmBusinessCase,tblAnnualAssm[Input Type],$H61)</f>
        <v>600</v>
      </c>
      <c r="T61" s="36">
        <f>SUMIFS(INDEX(tblAnnualAssm[],,MATCH(TEXT(Calculations!T$8,"0"),tblAnnualAssm[#Headers],0)),tblAnnualAssm[Case],AssmBusinessCase,tblAnnualAssm[Input Type],$H61)</f>
        <v>600</v>
      </c>
      <c r="U61" s="36">
        <f>SUMIFS(INDEX(tblAnnualAssm[],,MATCH(TEXT(Calculations!U$8,"0"),tblAnnualAssm[#Headers],0)),tblAnnualAssm[Case],AssmBusinessCase,tblAnnualAssm[Input Type],$H61)</f>
        <v>600</v>
      </c>
      <c r="V61" s="36">
        <f>SUMIFS(INDEX(tblAnnualAssm[],,MATCH(TEXT(Calculations!V$8,"0"),tblAnnualAssm[#Headers],0)),tblAnnualAssm[Case],AssmBusinessCase,tblAnnualAssm[Input Type],$H61)</f>
        <v>600</v>
      </c>
      <c r="W61" s="36">
        <f>SUMIFS(INDEX(tblAnnualAssm[],,MATCH(TEXT(Calculations!W$8,"0"),tblAnnualAssm[#Headers],0)),tblAnnualAssm[Case],AssmBusinessCase,tblAnnualAssm[Input Type],$H61)</f>
        <v>600</v>
      </c>
      <c r="X61" s="36">
        <f>SUMIFS(INDEX(tblAnnualAssm[],,MATCH(TEXT(Calculations!X$8,"0"),tblAnnualAssm[#Headers],0)),tblAnnualAssm[Case],AssmBusinessCase,tblAnnualAssm[Input Type],$H61)</f>
        <v>600</v>
      </c>
      <c r="Y61" s="36">
        <f>SUMIFS(INDEX(tblAnnualAssm[],,MATCH(TEXT(Calculations!Y$8,"0"),tblAnnualAssm[#Headers],0)),tblAnnualAssm[Case],AssmBusinessCase,tblAnnualAssm[Input Type],$H61)</f>
        <v>600</v>
      </c>
      <c r="Z61" s="36">
        <f>SUMIFS(INDEX(tblAnnualAssm[],,MATCH(TEXT(Calculations!Z$8,"0"),tblAnnualAssm[#Headers],0)),tblAnnualAssm[Case],AssmBusinessCase,tblAnnualAssm[Input Type],$H61)</f>
        <v>600</v>
      </c>
      <c r="AA61" s="36">
        <f>SUMIFS(INDEX(tblAnnualAssm[],,MATCH(TEXT(Calculations!AA$8,"0"),tblAnnualAssm[#Headers],0)),tblAnnualAssm[Case],AssmBusinessCase,tblAnnualAssm[Input Type],$H61)</f>
        <v>600</v>
      </c>
      <c r="AB61" s="36">
        <f>SUMIFS(INDEX(tblAnnualAssm[],,MATCH(TEXT(Calculations!AB$8,"0"),tblAnnualAssm[#Headers],0)),tblAnnualAssm[Case],AssmBusinessCase,tblAnnualAssm[Input Type],$H61)</f>
        <v>600</v>
      </c>
      <c r="AC61" s="36">
        <f>SUMIFS(INDEX(tblAnnualAssm[],,MATCH(TEXT(Calculations!AC$8,"0"),tblAnnualAssm[#Headers],0)),tblAnnualAssm[Case],AssmBusinessCase,tblAnnualAssm[Input Type],$H61)</f>
        <v>600</v>
      </c>
      <c r="AD61" s="36">
        <f>SUMIFS(INDEX(tblAnnualAssm[],,MATCH(TEXT(Calculations!AD$8,"0"),tblAnnualAssm[#Headers],0)),tblAnnualAssm[Case],AssmBusinessCase,tblAnnualAssm[Input Type],$H61)</f>
        <v>600</v>
      </c>
      <c r="AE61" s="36">
        <f>SUMIFS(INDEX(tblAnnualAssm[],,MATCH(TEXT(Calculations!AE$8,"0"),tblAnnualAssm[#Headers],0)),tblAnnualAssm[Case],AssmBusinessCase,tblAnnualAssm[Input Type],$H61)</f>
        <v>600</v>
      </c>
      <c r="AF61" s="36">
        <f>SUMIFS(INDEX(tblAnnualAssm[],,MATCH(TEXT(Calculations!AF$8,"0"),tblAnnualAssm[#Headers],0)),tblAnnualAssm[Case],AssmBusinessCase,tblAnnualAssm[Input Type],$H61)</f>
        <v>600</v>
      </c>
      <c r="AG61" s="36">
        <f>SUMIFS(INDEX(tblAnnualAssm[],,MATCH(TEXT(Calculations!AG$8,"0"),tblAnnualAssm[#Headers],0)),tblAnnualAssm[Case],AssmBusinessCase,tblAnnualAssm[Input Type],$H61)</f>
        <v>700</v>
      </c>
      <c r="AH61" s="36">
        <f>SUMIFS(INDEX(tblAnnualAssm[],,MATCH(TEXT(Calculations!AH$8,"0"),tblAnnualAssm[#Headers],0)),tblAnnualAssm[Case],AssmBusinessCase,tblAnnualAssm[Input Type],$H61)</f>
        <v>700</v>
      </c>
      <c r="AI61" s="36">
        <f>SUMIFS(INDEX(tblAnnualAssm[],,MATCH(TEXT(Calculations!AI$8,"0"),tblAnnualAssm[#Headers],0)),tblAnnualAssm[Case],AssmBusinessCase,tblAnnualAssm[Input Type],$H61)</f>
        <v>700</v>
      </c>
      <c r="AJ61" s="36">
        <f>SUMIFS(INDEX(tblAnnualAssm[],,MATCH(TEXT(Calculations!AJ$8,"0"),tblAnnualAssm[#Headers],0)),tblAnnualAssm[Case],AssmBusinessCase,tblAnnualAssm[Input Type],$H61)</f>
        <v>700</v>
      </c>
      <c r="AK61" s="36">
        <f>SUMIFS(INDEX(tblAnnualAssm[],,MATCH(TEXT(Calculations!AK$8,"0"),tblAnnualAssm[#Headers],0)),tblAnnualAssm[Case],AssmBusinessCase,tblAnnualAssm[Input Type],$H61)</f>
        <v>700</v>
      </c>
      <c r="AL61" s="36">
        <f>SUMIFS(INDEX(tblAnnualAssm[],,MATCH(TEXT(Calculations!AL$8,"0"),tblAnnualAssm[#Headers],0)),tblAnnualAssm[Case],AssmBusinessCase,tblAnnualAssm[Input Type],$H61)</f>
        <v>700</v>
      </c>
      <c r="AM61" s="36">
        <f>SUMIFS(INDEX(tblAnnualAssm[],,MATCH(TEXT(Calculations!AM$8,"0"),tblAnnualAssm[#Headers],0)),tblAnnualAssm[Case],AssmBusinessCase,tblAnnualAssm[Input Type],$H61)</f>
        <v>700</v>
      </c>
      <c r="AN61" s="36">
        <f>SUMIFS(INDEX(tblAnnualAssm[],,MATCH(TEXT(Calculations!AN$8,"0"),tblAnnualAssm[#Headers],0)),tblAnnualAssm[Case],AssmBusinessCase,tblAnnualAssm[Input Type],$H61)</f>
        <v>700</v>
      </c>
      <c r="AO61" s="36">
        <f>SUMIFS(INDEX(tblAnnualAssm[],,MATCH(TEXT(Calculations!AO$8,"0"),tblAnnualAssm[#Headers],0)),tblAnnualAssm[Case],AssmBusinessCase,tblAnnualAssm[Input Type],$H61)</f>
        <v>700</v>
      </c>
      <c r="AP61" s="36">
        <f>SUMIFS(INDEX(tblAnnualAssm[],,MATCH(TEXT(Calculations!AP$8,"0"),tblAnnualAssm[#Headers],0)),tblAnnualAssm[Case],AssmBusinessCase,tblAnnualAssm[Input Type],$H61)</f>
        <v>700</v>
      </c>
      <c r="AQ61" s="36">
        <f>SUMIFS(INDEX(tblAnnualAssm[],,MATCH(TEXT(Calculations!AQ$8,"0"),tblAnnualAssm[#Headers],0)),tblAnnualAssm[Case],AssmBusinessCase,tblAnnualAssm[Input Type],$H61)</f>
        <v>700</v>
      </c>
      <c r="AR61" s="36">
        <f>SUMIFS(INDEX(tblAnnualAssm[],,MATCH(TEXT(Calculations!AR$8,"0"),tblAnnualAssm[#Headers],0)),tblAnnualAssm[Case],AssmBusinessCase,tblAnnualAssm[Input Type],$H61)</f>
        <v>700</v>
      </c>
      <c r="AS61" s="36">
        <f>SUMIFS(INDEX(tblAnnualAssm[],,MATCH(TEXT(Calculations!AS$8,"0"),tblAnnualAssm[#Headers],0)),tblAnnualAssm[Case],AssmBusinessCase,tblAnnualAssm[Input Type],$H61)</f>
        <v>700</v>
      </c>
      <c r="AT61" s="36">
        <f>SUMIFS(INDEX(tblAnnualAssm[],,MATCH(TEXT(Calculations!AT$8,"0"),tblAnnualAssm[#Headers],0)),tblAnnualAssm[Case],AssmBusinessCase,tblAnnualAssm[Input Type],$H61)</f>
        <v>700</v>
      </c>
      <c r="AU61" s="36">
        <f>SUMIFS(INDEX(tblAnnualAssm[],,MATCH(TEXT(Calculations!AU$8,"0"),tblAnnualAssm[#Headers],0)),tblAnnualAssm[Case],AssmBusinessCase,tblAnnualAssm[Input Type],$H61)</f>
        <v>700</v>
      </c>
      <c r="AV61" s="36">
        <f>SUMIFS(INDEX(tblAnnualAssm[],,MATCH(TEXT(Calculations!AV$8,"0"),tblAnnualAssm[#Headers],0)),tblAnnualAssm[Case],AssmBusinessCase,tblAnnualAssm[Input Type],$H61)</f>
        <v>700</v>
      </c>
      <c r="AW61" s="36">
        <f>SUMIFS(INDEX(tblAnnualAssm[],,MATCH(TEXT(Calculations!AW$8,"0"),tblAnnualAssm[#Headers],0)),tblAnnualAssm[Case],AssmBusinessCase,tblAnnualAssm[Input Type],$H61)</f>
        <v>700</v>
      </c>
      <c r="AX61" s="36">
        <f>SUMIFS(INDEX(tblAnnualAssm[],,MATCH(TEXT(Calculations!AX$8,"0"),tblAnnualAssm[#Headers],0)),tblAnnualAssm[Case],AssmBusinessCase,tblAnnualAssm[Input Type],$H61)</f>
        <v>700</v>
      </c>
      <c r="AY61" s="36">
        <f>SUMIFS(INDEX(tblAnnualAssm[],,MATCH(TEXT(Calculations!AY$8,"0"),tblAnnualAssm[#Headers],0)),tblAnnualAssm[Case],AssmBusinessCase,tblAnnualAssm[Input Type],$H61)</f>
        <v>700</v>
      </c>
      <c r="AZ61" s="36">
        <f>SUMIFS(INDEX(tblAnnualAssm[],,MATCH(TEXT(Calculations!AZ$8,"0"),tblAnnualAssm[#Headers],0)),tblAnnualAssm[Case],AssmBusinessCase,tblAnnualAssm[Input Type],$H61)</f>
        <v>700</v>
      </c>
      <c r="BA61" s="36">
        <f>SUMIFS(INDEX(tblAnnualAssm[],,MATCH(TEXT(Calculations!BA$8,"0"),tblAnnualAssm[#Headers],0)),tblAnnualAssm[Case],AssmBusinessCase,tblAnnualAssm[Input Type],$H61)</f>
        <v>700</v>
      </c>
      <c r="BB61" s="36">
        <f>SUMIFS(INDEX(tblAnnualAssm[],,MATCH(TEXT(Calculations!BB$8,"0"),tblAnnualAssm[#Headers],0)),tblAnnualAssm[Case],AssmBusinessCase,tblAnnualAssm[Input Type],$H61)</f>
        <v>700</v>
      </c>
      <c r="BC61" s="36">
        <f>SUMIFS(INDEX(tblAnnualAssm[],,MATCH(TEXT(Calculations!BC$8,"0"),tblAnnualAssm[#Headers],0)),tblAnnualAssm[Case],AssmBusinessCase,tblAnnualAssm[Input Type],$H61)</f>
        <v>700</v>
      </c>
      <c r="BD61" s="36">
        <f>SUMIFS(INDEX(tblAnnualAssm[],,MATCH(TEXT(Calculations!BD$8,"0"),tblAnnualAssm[#Headers],0)),tblAnnualAssm[Case],AssmBusinessCase,tblAnnualAssm[Input Type],$H61)</f>
        <v>700</v>
      </c>
      <c r="BE61" s="36">
        <f>SUMIFS(INDEX(tblAnnualAssm[],,MATCH(TEXT(Calculations!BE$8,"0"),tblAnnualAssm[#Headers],0)),tblAnnualAssm[Case],AssmBusinessCase,tblAnnualAssm[Input Type],$H61)</f>
        <v>700</v>
      </c>
      <c r="BF61" s="36">
        <f>SUMIFS(INDEX(tblAnnualAssm[],,MATCH(TEXT(Calculations!BF$8,"0"),tblAnnualAssm[#Headers],0)),tblAnnualAssm[Case],AssmBusinessCase,tblAnnualAssm[Input Type],$H61)</f>
        <v>700</v>
      </c>
      <c r="BG61" s="36">
        <f>SUMIFS(INDEX(tblAnnualAssm[],,MATCH(TEXT(Calculations!BG$8,"0"),tblAnnualAssm[#Headers],0)),tblAnnualAssm[Case],AssmBusinessCase,tblAnnualAssm[Input Type],$H61)</f>
        <v>700</v>
      </c>
      <c r="BH61" s="36">
        <f>SUMIFS(INDEX(tblAnnualAssm[],,MATCH(TEXT(Calculations!BH$8,"0"),tblAnnualAssm[#Headers],0)),tblAnnualAssm[Case],AssmBusinessCase,tblAnnualAssm[Input Type],$H61)</f>
        <v>700</v>
      </c>
      <c r="BI61" s="36">
        <f>SUMIFS(INDEX(tblAnnualAssm[],,MATCH(TEXT(Calculations!BI$8,"0"),tblAnnualAssm[#Headers],0)),tblAnnualAssm[Case],AssmBusinessCase,tblAnnualAssm[Input Type],$H61)</f>
        <v>700</v>
      </c>
      <c r="BJ61" s="36">
        <f>SUMIFS(INDEX(tblAnnualAssm[],,MATCH(TEXT(Calculations!BJ$8,"0"),tblAnnualAssm[#Headers],0)),tblAnnualAssm[Case],AssmBusinessCase,tblAnnualAssm[Input Type],$H61)</f>
        <v>700</v>
      </c>
      <c r="BK61" s="36">
        <f>SUMIFS(INDEX(tblAnnualAssm[],,MATCH(TEXT(Calculations!BK$8,"0"),tblAnnualAssm[#Headers],0)),tblAnnualAssm[Case],AssmBusinessCase,tblAnnualAssm[Input Type],$H61)</f>
        <v>700</v>
      </c>
      <c r="BL61" s="36">
        <f>SUMIFS(INDEX(tblAnnualAssm[],,MATCH(TEXT(Calculations!BL$8,"0"),tblAnnualAssm[#Headers],0)),tblAnnualAssm[Case],AssmBusinessCase,tblAnnualAssm[Input Type],$H61)</f>
        <v>700</v>
      </c>
      <c r="BM61" s="36">
        <f>SUMIFS(INDEX(tblAnnualAssm[],,MATCH(TEXT(Calculations!BM$8,"0"),tblAnnualAssm[#Headers],0)),tblAnnualAssm[Case],AssmBusinessCase,tblAnnualAssm[Input Type],$H61)</f>
        <v>700</v>
      </c>
      <c r="BN61" s="36">
        <f>SUMIFS(INDEX(tblAnnualAssm[],,MATCH(TEXT(Calculations!BN$8,"0"),tblAnnualAssm[#Headers],0)),tblAnnualAssm[Case],AssmBusinessCase,tblAnnualAssm[Input Type],$H61)</f>
        <v>700</v>
      </c>
      <c r="BO61" s="36">
        <f>SUMIFS(INDEX(tblAnnualAssm[],,MATCH(TEXT(Calculations!BO$8,"0"),tblAnnualAssm[#Headers],0)),tblAnnualAssm[Case],AssmBusinessCase,tblAnnualAssm[Input Type],$H61)</f>
        <v>700</v>
      </c>
      <c r="BP61" s="36">
        <f>SUMIFS(INDEX(tblAnnualAssm[],,MATCH(TEXT(Calculations!BP$8,"0"),tblAnnualAssm[#Headers],0)),tblAnnualAssm[Case],AssmBusinessCase,tblAnnualAssm[Input Type],$H61)</f>
        <v>700</v>
      </c>
    </row>
    <row r="62" spans="1:68" s="30" customFormat="1" ht="15" x14ac:dyDescent="0.25">
      <c r="D62" s="31"/>
      <c r="E62" s="30" t="s">
        <v>107</v>
      </c>
      <c r="I62" s="39">
        <f t="array" ref="I62">SUM(ROUNDUP(I27:I32,0))+SUM(ROUNDUP(I53:I56,0))</f>
        <v>3</v>
      </c>
      <c r="J62" s="39">
        <f t="array" ref="J62">SUM(ROUNDUP(J27:J32,0))+SUM(ROUNDUP(J53:J56,0))</f>
        <v>4</v>
      </c>
      <c r="K62" s="39">
        <f t="array" ref="K62">SUM(ROUNDUP(K27:K32,0))+SUM(ROUNDUP(K53:K56,0))</f>
        <v>8</v>
      </c>
      <c r="L62" s="39">
        <f t="array" ref="L62">SUM(ROUNDUP(L27:L32,0))+SUM(ROUNDUP(L53:L56,0))</f>
        <v>10</v>
      </c>
      <c r="M62" s="39">
        <f t="array" ref="M62">SUM(ROUNDUP(M27:M32,0))+SUM(ROUNDUP(M53:M56,0))</f>
        <v>11</v>
      </c>
      <c r="N62" s="39">
        <f t="array" ref="N62">SUM(ROUNDUP(N27:N32,0))+SUM(ROUNDUP(N53:N56,0))</f>
        <v>14</v>
      </c>
      <c r="O62" s="39">
        <f t="array" ref="O62">SUM(ROUNDUP(O27:O32,0))+SUM(ROUNDUP(O53:O56,0))</f>
        <v>17</v>
      </c>
      <c r="P62" s="39">
        <f t="array" ref="P62">SUM(ROUNDUP(P27:P32,0))+SUM(ROUNDUP(P53:P56,0))</f>
        <v>17</v>
      </c>
      <c r="Q62" s="39">
        <f t="array" ref="Q62">SUM(ROUNDUP(Q27:Q32,0))+SUM(ROUNDUP(Q53:Q56,0))</f>
        <v>19</v>
      </c>
      <c r="R62" s="39">
        <f t="array" ref="R62">SUM(ROUNDUP(R27:R32,0))+SUM(ROUNDUP(R53:R56,0))</f>
        <v>22</v>
      </c>
      <c r="S62" s="39">
        <f t="array" ref="S62">SUM(ROUNDUP(S27:S32,0))+SUM(ROUNDUP(S53:S56,0))</f>
        <v>25</v>
      </c>
      <c r="T62" s="39">
        <f t="array" ref="T62">SUM(ROUNDUP(T27:T32,0))+SUM(ROUNDUP(T53:T56,0))</f>
        <v>28</v>
      </c>
      <c r="U62" s="39">
        <f t="array" ref="U62">SUM(ROUNDUP(U27:U32,0))+SUM(ROUNDUP(U53:U56,0))</f>
        <v>30</v>
      </c>
      <c r="V62" s="39">
        <f t="array" ref="V62">SUM(ROUNDUP(V27:V32,0))+SUM(ROUNDUP(V53:V56,0))</f>
        <v>33</v>
      </c>
      <c r="W62" s="39">
        <f t="array" ref="W62">SUM(ROUNDUP(W27:W32,0))+SUM(ROUNDUP(W53:W56,0))</f>
        <v>36</v>
      </c>
      <c r="X62" s="39">
        <f t="array" ref="X62">SUM(ROUNDUP(X27:X32,0))+SUM(ROUNDUP(X53:X56,0))</f>
        <v>38</v>
      </c>
      <c r="Y62" s="39">
        <f t="array" ref="Y62">SUM(ROUNDUP(Y27:Y32,0))+SUM(ROUNDUP(Y53:Y56,0))</f>
        <v>41</v>
      </c>
      <c r="Z62" s="39">
        <f t="array" ref="Z62">SUM(ROUNDUP(Z27:Z32,0))+SUM(ROUNDUP(Z53:Z56,0))</f>
        <v>44</v>
      </c>
      <c r="AA62" s="39">
        <f t="array" ref="AA62">SUM(ROUNDUP(AA27:AA32,0))+SUM(ROUNDUP(AA53:AA56,0))</f>
        <v>46</v>
      </c>
      <c r="AB62" s="39">
        <f t="array" ref="AB62">SUM(ROUNDUP(AB27:AB32,0))+SUM(ROUNDUP(AB53:AB56,0))</f>
        <v>48</v>
      </c>
      <c r="AC62" s="39">
        <f t="array" ref="AC62">SUM(ROUNDUP(AC27:AC32,0))+SUM(ROUNDUP(AC53:AC56,0))</f>
        <v>53</v>
      </c>
      <c r="AD62" s="39">
        <f t="array" ref="AD62">SUM(ROUNDUP(AD27:AD32,0))+SUM(ROUNDUP(AD53:AD56,0))</f>
        <v>55</v>
      </c>
      <c r="AE62" s="39">
        <f t="array" ref="AE62">SUM(ROUNDUP(AE27:AE32,0))+SUM(ROUNDUP(AE53:AE56,0))</f>
        <v>57</v>
      </c>
      <c r="AF62" s="39">
        <f t="array" ref="AF62">SUM(ROUNDUP(AF27:AF32,0))+SUM(ROUNDUP(AF53:AF56,0))</f>
        <v>61</v>
      </c>
      <c r="AG62" s="39">
        <f t="array" ref="AG62">SUM(ROUNDUP(AG27:AG32,0))+SUM(ROUNDUP(AG53:AG56,0))</f>
        <v>63</v>
      </c>
      <c r="AH62" s="39">
        <f t="array" ref="AH62">SUM(ROUNDUP(AH27:AH32,0))+SUM(ROUNDUP(AH53:AH56,0))</f>
        <v>66</v>
      </c>
      <c r="AI62" s="39">
        <f t="array" ref="AI62">SUM(ROUNDUP(AI27:AI32,0))+SUM(ROUNDUP(AI53:AI56,0))</f>
        <v>69</v>
      </c>
      <c r="AJ62" s="39">
        <f t="array" ref="AJ62">SUM(ROUNDUP(AJ27:AJ32,0))+SUM(ROUNDUP(AJ53:AJ56,0))</f>
        <v>71</v>
      </c>
      <c r="AK62" s="39">
        <f t="array" ref="AK62">SUM(ROUNDUP(AK27:AK32,0))+SUM(ROUNDUP(AK53:AK56,0))</f>
        <v>74</v>
      </c>
      <c r="AL62" s="39">
        <f t="array" ref="AL62">SUM(ROUNDUP(AL27:AL32,0))+SUM(ROUNDUP(AL53:AL56,0))</f>
        <v>78</v>
      </c>
      <c r="AM62" s="39">
        <f t="array" ref="AM62">SUM(ROUNDUP(AM27:AM32,0))+SUM(ROUNDUP(AM53:AM56,0))</f>
        <v>80</v>
      </c>
      <c r="AN62" s="39">
        <f t="array" ref="AN62">SUM(ROUNDUP(AN27:AN32,0))+SUM(ROUNDUP(AN53:AN56,0))</f>
        <v>82</v>
      </c>
      <c r="AO62" s="39">
        <f t="array" ref="AO62">SUM(ROUNDUP(AO27:AO32,0))+SUM(ROUNDUP(AO53:AO56,0))</f>
        <v>86</v>
      </c>
      <c r="AP62" s="39">
        <f t="array" ref="AP62">SUM(ROUNDUP(AP27:AP32,0))+SUM(ROUNDUP(AP53:AP56,0))</f>
        <v>88</v>
      </c>
      <c r="AQ62" s="39">
        <f t="array" ref="AQ62">SUM(ROUNDUP(AQ27:AQ32,0))+SUM(ROUNDUP(AQ53:AQ56,0))</f>
        <v>91</v>
      </c>
      <c r="AR62" s="39">
        <f t="array" ref="AR62">SUM(ROUNDUP(AR27:AR32,0))+SUM(ROUNDUP(AR53:AR56,0))</f>
        <v>94</v>
      </c>
      <c r="AS62" s="39">
        <f t="array" ref="AS62">SUM(ROUNDUP(AS27:AS32,0))+SUM(ROUNDUP(AS53:AS56,0))</f>
        <v>94</v>
      </c>
      <c r="AT62" s="39">
        <f t="array" ref="AT62">SUM(ROUNDUP(AT27:AT32,0))+SUM(ROUNDUP(AT53:AT56,0))</f>
        <v>94</v>
      </c>
      <c r="AU62" s="39">
        <f t="array" ref="AU62">SUM(ROUNDUP(AU27:AU32,0))+SUM(ROUNDUP(AU53:AU56,0))</f>
        <v>94</v>
      </c>
      <c r="AV62" s="39">
        <f t="array" ref="AV62">SUM(ROUNDUP(AV27:AV32,0))+SUM(ROUNDUP(AV53:AV56,0))</f>
        <v>94</v>
      </c>
      <c r="AW62" s="39">
        <f t="array" ref="AW62">SUM(ROUNDUP(AW27:AW32,0))+SUM(ROUNDUP(AW53:AW56,0))</f>
        <v>94</v>
      </c>
      <c r="AX62" s="39">
        <f t="array" ref="AX62">SUM(ROUNDUP(AX27:AX32,0))+SUM(ROUNDUP(AX53:AX56,0))</f>
        <v>94</v>
      </c>
      <c r="AY62" s="39">
        <f t="array" ref="AY62">SUM(ROUNDUP(AY27:AY32,0))+SUM(ROUNDUP(AY53:AY56,0))</f>
        <v>94</v>
      </c>
      <c r="AZ62" s="39">
        <f t="array" ref="AZ62">SUM(ROUNDUP(AZ27:AZ32,0))+SUM(ROUNDUP(AZ53:AZ56,0))</f>
        <v>94</v>
      </c>
      <c r="BA62" s="39">
        <f t="array" ref="BA62">SUM(ROUNDUP(BA27:BA32,0))+SUM(ROUNDUP(BA53:BA56,0))</f>
        <v>94</v>
      </c>
      <c r="BB62" s="39">
        <f t="array" ref="BB62">SUM(ROUNDUP(BB27:BB32,0))+SUM(ROUNDUP(BB53:BB56,0))</f>
        <v>94</v>
      </c>
      <c r="BC62" s="39">
        <f t="array" ref="BC62">SUM(ROUNDUP(BC27:BC32,0))+SUM(ROUNDUP(BC53:BC56,0))</f>
        <v>94</v>
      </c>
      <c r="BD62" s="39">
        <f t="array" ref="BD62">SUM(ROUNDUP(BD27:BD32,0))+SUM(ROUNDUP(BD53:BD56,0))</f>
        <v>94</v>
      </c>
      <c r="BE62" s="39">
        <f t="array" ref="BE62">SUM(ROUNDUP(BE27:BE32,0))+SUM(ROUNDUP(BE53:BE56,0))</f>
        <v>94</v>
      </c>
      <c r="BF62" s="39">
        <f t="array" ref="BF62">SUM(ROUNDUP(BF27:BF32,0))+SUM(ROUNDUP(BF53:BF56,0))</f>
        <v>94</v>
      </c>
      <c r="BG62" s="39">
        <f t="array" ref="BG62">SUM(ROUNDUP(BG27:BG32,0))+SUM(ROUNDUP(BG53:BG56,0))</f>
        <v>94</v>
      </c>
      <c r="BH62" s="39">
        <f t="array" ref="BH62">SUM(ROUNDUP(BH27:BH32,0))+SUM(ROUNDUP(BH53:BH56,0))</f>
        <v>94</v>
      </c>
      <c r="BI62" s="39">
        <f t="array" ref="BI62">SUM(ROUNDUP(BI27:BI32,0))+SUM(ROUNDUP(BI53:BI56,0))</f>
        <v>94</v>
      </c>
      <c r="BJ62" s="39">
        <f t="array" ref="BJ62">SUM(ROUNDUP(BJ27:BJ32,0))+SUM(ROUNDUP(BJ53:BJ56,0))</f>
        <v>94</v>
      </c>
      <c r="BK62" s="39">
        <f t="array" ref="BK62">SUM(ROUNDUP(BK27:BK32,0))+SUM(ROUNDUP(BK53:BK56,0))</f>
        <v>94</v>
      </c>
      <c r="BL62" s="39">
        <f t="array" ref="BL62">SUM(ROUNDUP(BL27:BL32,0))+SUM(ROUNDUP(BL53:BL56,0))</f>
        <v>94</v>
      </c>
      <c r="BM62" s="39">
        <f t="array" ref="BM62">SUM(ROUNDUP(BM27:BM32,0))+SUM(ROUNDUP(BM53:BM56,0))</f>
        <v>94</v>
      </c>
      <c r="BN62" s="39">
        <f t="array" ref="BN62">SUM(ROUNDUP(BN27:BN32,0))+SUM(ROUNDUP(BN53:BN56,0))</f>
        <v>94</v>
      </c>
      <c r="BO62" s="39">
        <f t="array" ref="BO62">SUM(ROUNDUP(BO27:BO32,0))+SUM(ROUNDUP(BO53:BO56,0))</f>
        <v>94</v>
      </c>
      <c r="BP62" s="39">
        <f t="array" ref="BP62">SUM(ROUNDUP(BP27:BP32,0))+SUM(ROUNDUP(BP53:BP56,0))</f>
        <v>94</v>
      </c>
    </row>
    <row r="63" spans="1:68" s="30" customFormat="1" ht="15" x14ac:dyDescent="0.25">
      <c r="D63" s="31" t="s">
        <v>108</v>
      </c>
      <c r="I63" s="37">
        <f>I61*I62</f>
        <v>1800</v>
      </c>
      <c r="J63" s="37">
        <f t="shared" ref="J63:BP63" si="12">J61*J62</f>
        <v>2400</v>
      </c>
      <c r="K63" s="37">
        <f t="shared" si="12"/>
        <v>4800</v>
      </c>
      <c r="L63" s="37">
        <f t="shared" si="12"/>
        <v>6000</v>
      </c>
      <c r="M63" s="37">
        <f t="shared" si="12"/>
        <v>6600</v>
      </c>
      <c r="N63" s="37">
        <f t="shared" si="12"/>
        <v>8400</v>
      </c>
      <c r="O63" s="37">
        <f t="shared" si="12"/>
        <v>10200</v>
      </c>
      <c r="P63" s="37">
        <f t="shared" si="12"/>
        <v>10200</v>
      </c>
      <c r="Q63" s="37">
        <f t="shared" si="12"/>
        <v>11400</v>
      </c>
      <c r="R63" s="37">
        <f t="shared" si="12"/>
        <v>13200</v>
      </c>
      <c r="S63" s="37">
        <f t="shared" si="12"/>
        <v>15000</v>
      </c>
      <c r="T63" s="37">
        <f t="shared" si="12"/>
        <v>16800</v>
      </c>
      <c r="U63" s="37">
        <f t="shared" si="12"/>
        <v>18000</v>
      </c>
      <c r="V63" s="37">
        <f t="shared" si="12"/>
        <v>19800</v>
      </c>
      <c r="W63" s="37">
        <f t="shared" si="12"/>
        <v>21600</v>
      </c>
      <c r="X63" s="37">
        <f t="shared" si="12"/>
        <v>22800</v>
      </c>
      <c r="Y63" s="37">
        <f t="shared" si="12"/>
        <v>24600</v>
      </c>
      <c r="Z63" s="37">
        <f t="shared" si="12"/>
        <v>26400</v>
      </c>
      <c r="AA63" s="37">
        <f t="shared" si="12"/>
        <v>27600</v>
      </c>
      <c r="AB63" s="37">
        <f t="shared" si="12"/>
        <v>28800</v>
      </c>
      <c r="AC63" s="37">
        <f t="shared" si="12"/>
        <v>31800</v>
      </c>
      <c r="AD63" s="37">
        <f t="shared" si="12"/>
        <v>33000</v>
      </c>
      <c r="AE63" s="37">
        <f t="shared" si="12"/>
        <v>34200</v>
      </c>
      <c r="AF63" s="37">
        <f t="shared" si="12"/>
        <v>36600</v>
      </c>
      <c r="AG63" s="37">
        <f t="shared" si="12"/>
        <v>44100</v>
      </c>
      <c r="AH63" s="37">
        <f t="shared" si="12"/>
        <v>46200</v>
      </c>
      <c r="AI63" s="37">
        <f t="shared" si="12"/>
        <v>48300</v>
      </c>
      <c r="AJ63" s="37">
        <f t="shared" si="12"/>
        <v>49700</v>
      </c>
      <c r="AK63" s="37">
        <f t="shared" si="12"/>
        <v>51800</v>
      </c>
      <c r="AL63" s="37">
        <f t="shared" si="12"/>
        <v>54600</v>
      </c>
      <c r="AM63" s="37">
        <f t="shared" si="12"/>
        <v>56000</v>
      </c>
      <c r="AN63" s="37">
        <f t="shared" si="12"/>
        <v>57400</v>
      </c>
      <c r="AO63" s="37">
        <f t="shared" si="12"/>
        <v>60200</v>
      </c>
      <c r="AP63" s="37">
        <f t="shared" si="12"/>
        <v>61600</v>
      </c>
      <c r="AQ63" s="37">
        <f t="shared" si="12"/>
        <v>63700</v>
      </c>
      <c r="AR63" s="37">
        <f t="shared" si="12"/>
        <v>65800</v>
      </c>
      <c r="AS63" s="37">
        <f t="shared" si="12"/>
        <v>65800</v>
      </c>
      <c r="AT63" s="37">
        <f t="shared" si="12"/>
        <v>65800</v>
      </c>
      <c r="AU63" s="37">
        <f t="shared" si="12"/>
        <v>65800</v>
      </c>
      <c r="AV63" s="37">
        <f t="shared" si="12"/>
        <v>65800</v>
      </c>
      <c r="AW63" s="37">
        <f t="shared" si="12"/>
        <v>65800</v>
      </c>
      <c r="AX63" s="37">
        <f t="shared" si="12"/>
        <v>65800</v>
      </c>
      <c r="AY63" s="37">
        <f t="shared" si="12"/>
        <v>65800</v>
      </c>
      <c r="AZ63" s="37">
        <f t="shared" si="12"/>
        <v>65800</v>
      </c>
      <c r="BA63" s="37">
        <f t="shared" si="12"/>
        <v>65800</v>
      </c>
      <c r="BB63" s="37">
        <f t="shared" si="12"/>
        <v>65800</v>
      </c>
      <c r="BC63" s="37">
        <f t="shared" si="12"/>
        <v>65800</v>
      </c>
      <c r="BD63" s="37">
        <f t="shared" si="12"/>
        <v>65800</v>
      </c>
      <c r="BE63" s="37">
        <f t="shared" si="12"/>
        <v>65800</v>
      </c>
      <c r="BF63" s="37">
        <f t="shared" si="12"/>
        <v>65800</v>
      </c>
      <c r="BG63" s="37">
        <f t="shared" si="12"/>
        <v>65800</v>
      </c>
      <c r="BH63" s="37">
        <f t="shared" si="12"/>
        <v>65800</v>
      </c>
      <c r="BI63" s="37">
        <f t="shared" si="12"/>
        <v>65800</v>
      </c>
      <c r="BJ63" s="37">
        <f t="shared" si="12"/>
        <v>65800</v>
      </c>
      <c r="BK63" s="37">
        <f t="shared" si="12"/>
        <v>65800</v>
      </c>
      <c r="BL63" s="37">
        <f t="shared" si="12"/>
        <v>65800</v>
      </c>
      <c r="BM63" s="37">
        <f t="shared" si="12"/>
        <v>65800</v>
      </c>
      <c r="BN63" s="37">
        <f t="shared" si="12"/>
        <v>65800</v>
      </c>
      <c r="BO63" s="37">
        <f t="shared" si="12"/>
        <v>65800</v>
      </c>
      <c r="BP63" s="37">
        <f t="shared" si="12"/>
        <v>65800</v>
      </c>
    </row>
    <row r="64" spans="1:68" s="30" customFormat="1" ht="15" x14ac:dyDescent="0.25"/>
    <row r="65" spans="1:68" s="30" customFormat="1" ht="15" x14ac:dyDescent="0.25">
      <c r="D65" s="31" t="s">
        <v>109</v>
      </c>
    </row>
    <row r="66" spans="1:68" s="30" customFormat="1" ht="15" x14ac:dyDescent="0.25">
      <c r="E66" s="30" t="s">
        <v>110</v>
      </c>
      <c r="H66" s="30">
        <f>AssmLegal</f>
        <v>600</v>
      </c>
      <c r="I66" s="37">
        <f>H66</f>
        <v>600</v>
      </c>
      <c r="J66" s="37">
        <f t="shared" ref="J66:BP66" si="13">I66</f>
        <v>600</v>
      </c>
      <c r="K66" s="37">
        <f t="shared" si="13"/>
        <v>600</v>
      </c>
      <c r="L66" s="37">
        <f t="shared" si="13"/>
        <v>600</v>
      </c>
      <c r="M66" s="37">
        <f t="shared" si="13"/>
        <v>600</v>
      </c>
      <c r="N66" s="37">
        <f t="shared" si="13"/>
        <v>600</v>
      </c>
      <c r="O66" s="37">
        <f t="shared" si="13"/>
        <v>600</v>
      </c>
      <c r="P66" s="37">
        <f t="shared" si="13"/>
        <v>600</v>
      </c>
      <c r="Q66" s="37">
        <f t="shared" si="13"/>
        <v>600</v>
      </c>
      <c r="R66" s="37">
        <f t="shared" si="13"/>
        <v>600</v>
      </c>
      <c r="S66" s="37">
        <f t="shared" si="13"/>
        <v>600</v>
      </c>
      <c r="T66" s="37">
        <f t="shared" si="13"/>
        <v>600</v>
      </c>
      <c r="U66" s="37">
        <f t="shared" si="13"/>
        <v>600</v>
      </c>
      <c r="V66" s="37">
        <f t="shared" si="13"/>
        <v>600</v>
      </c>
      <c r="W66" s="37">
        <f t="shared" si="13"/>
        <v>600</v>
      </c>
      <c r="X66" s="37">
        <f t="shared" si="13"/>
        <v>600</v>
      </c>
      <c r="Y66" s="37">
        <f t="shared" si="13"/>
        <v>600</v>
      </c>
      <c r="Z66" s="37">
        <f t="shared" si="13"/>
        <v>600</v>
      </c>
      <c r="AA66" s="37">
        <f t="shared" si="13"/>
        <v>600</v>
      </c>
      <c r="AB66" s="37">
        <f t="shared" si="13"/>
        <v>600</v>
      </c>
      <c r="AC66" s="37">
        <f t="shared" si="13"/>
        <v>600</v>
      </c>
      <c r="AD66" s="37">
        <f t="shared" si="13"/>
        <v>600</v>
      </c>
      <c r="AE66" s="37">
        <f t="shared" si="13"/>
        <v>600</v>
      </c>
      <c r="AF66" s="37">
        <f t="shared" si="13"/>
        <v>600</v>
      </c>
      <c r="AG66" s="37">
        <f t="shared" si="13"/>
        <v>600</v>
      </c>
      <c r="AH66" s="37">
        <f t="shared" si="13"/>
        <v>600</v>
      </c>
      <c r="AI66" s="37">
        <f t="shared" si="13"/>
        <v>600</v>
      </c>
      <c r="AJ66" s="37">
        <f t="shared" si="13"/>
        <v>600</v>
      </c>
      <c r="AK66" s="37">
        <f t="shared" si="13"/>
        <v>600</v>
      </c>
      <c r="AL66" s="37">
        <f t="shared" si="13"/>
        <v>600</v>
      </c>
      <c r="AM66" s="37">
        <f t="shared" si="13"/>
        <v>600</v>
      </c>
      <c r="AN66" s="37">
        <f t="shared" si="13"/>
        <v>600</v>
      </c>
      <c r="AO66" s="37">
        <f t="shared" si="13"/>
        <v>600</v>
      </c>
      <c r="AP66" s="37">
        <f t="shared" si="13"/>
        <v>600</v>
      </c>
      <c r="AQ66" s="37">
        <f t="shared" si="13"/>
        <v>600</v>
      </c>
      <c r="AR66" s="37">
        <f t="shared" si="13"/>
        <v>600</v>
      </c>
      <c r="AS66" s="37">
        <f t="shared" si="13"/>
        <v>600</v>
      </c>
      <c r="AT66" s="37">
        <f t="shared" si="13"/>
        <v>600</v>
      </c>
      <c r="AU66" s="37">
        <f t="shared" si="13"/>
        <v>600</v>
      </c>
      <c r="AV66" s="37">
        <f t="shared" si="13"/>
        <v>600</v>
      </c>
      <c r="AW66" s="37">
        <f t="shared" si="13"/>
        <v>600</v>
      </c>
      <c r="AX66" s="37">
        <f t="shared" si="13"/>
        <v>600</v>
      </c>
      <c r="AY66" s="37">
        <f t="shared" si="13"/>
        <v>600</v>
      </c>
      <c r="AZ66" s="37">
        <f t="shared" si="13"/>
        <v>600</v>
      </c>
      <c r="BA66" s="37">
        <f t="shared" si="13"/>
        <v>600</v>
      </c>
      <c r="BB66" s="37">
        <f t="shared" si="13"/>
        <v>600</v>
      </c>
      <c r="BC66" s="37">
        <f t="shared" si="13"/>
        <v>600</v>
      </c>
      <c r="BD66" s="37">
        <f t="shared" si="13"/>
        <v>600</v>
      </c>
      <c r="BE66" s="37">
        <f t="shared" si="13"/>
        <v>600</v>
      </c>
      <c r="BF66" s="37">
        <f t="shared" si="13"/>
        <v>600</v>
      </c>
      <c r="BG66" s="37">
        <f t="shared" si="13"/>
        <v>600</v>
      </c>
      <c r="BH66" s="37">
        <f t="shared" si="13"/>
        <v>600</v>
      </c>
      <c r="BI66" s="37">
        <f t="shared" si="13"/>
        <v>600</v>
      </c>
      <c r="BJ66" s="37">
        <f t="shared" si="13"/>
        <v>600</v>
      </c>
      <c r="BK66" s="37">
        <f t="shared" si="13"/>
        <v>600</v>
      </c>
      <c r="BL66" s="37">
        <f t="shared" si="13"/>
        <v>600</v>
      </c>
      <c r="BM66" s="37">
        <f t="shared" si="13"/>
        <v>600</v>
      </c>
      <c r="BN66" s="37">
        <f t="shared" si="13"/>
        <v>600</v>
      </c>
      <c r="BO66" s="37">
        <f t="shared" si="13"/>
        <v>600</v>
      </c>
      <c r="BP66" s="37">
        <f t="shared" si="13"/>
        <v>600</v>
      </c>
    </row>
    <row r="67" spans="1:68" s="30" customFormat="1" ht="15" x14ac:dyDescent="0.25">
      <c r="E67" s="30" t="s">
        <v>111</v>
      </c>
      <c r="H67" s="30">
        <f>AssmAccounting</f>
        <v>200</v>
      </c>
      <c r="I67" s="37">
        <f>$H67*I$8</f>
        <v>200</v>
      </c>
      <c r="J67" s="37">
        <f t="shared" ref="J67:Y68" si="14">$H67*J$8</f>
        <v>200</v>
      </c>
      <c r="K67" s="37">
        <f t="shared" si="14"/>
        <v>200</v>
      </c>
      <c r="L67" s="37">
        <f t="shared" si="14"/>
        <v>200</v>
      </c>
      <c r="M67" s="37">
        <f t="shared" si="14"/>
        <v>200</v>
      </c>
      <c r="N67" s="37">
        <f t="shared" si="14"/>
        <v>200</v>
      </c>
      <c r="O67" s="37">
        <f t="shared" si="14"/>
        <v>200</v>
      </c>
      <c r="P67" s="37">
        <f t="shared" si="14"/>
        <v>200</v>
      </c>
      <c r="Q67" s="37">
        <f t="shared" si="14"/>
        <v>200</v>
      </c>
      <c r="R67" s="37">
        <f t="shared" si="14"/>
        <v>200</v>
      </c>
      <c r="S67" s="37">
        <f t="shared" si="14"/>
        <v>200</v>
      </c>
      <c r="T67" s="37">
        <f t="shared" si="14"/>
        <v>200</v>
      </c>
      <c r="U67" s="37">
        <f t="shared" si="14"/>
        <v>400</v>
      </c>
      <c r="V67" s="37">
        <f t="shared" si="14"/>
        <v>400</v>
      </c>
      <c r="W67" s="37">
        <f t="shared" si="14"/>
        <v>400</v>
      </c>
      <c r="X67" s="37">
        <f t="shared" si="14"/>
        <v>400</v>
      </c>
      <c r="Y67" s="37">
        <f t="shared" si="14"/>
        <v>400</v>
      </c>
      <c r="Z67" s="37">
        <f t="shared" ref="Z67:AO68" si="15">$H67*Z$8</f>
        <v>400</v>
      </c>
      <c r="AA67" s="37">
        <f t="shared" si="15"/>
        <v>400</v>
      </c>
      <c r="AB67" s="37">
        <f t="shared" si="15"/>
        <v>400</v>
      </c>
      <c r="AC67" s="37">
        <f t="shared" si="15"/>
        <v>400</v>
      </c>
      <c r="AD67" s="37">
        <f t="shared" si="15"/>
        <v>400</v>
      </c>
      <c r="AE67" s="37">
        <f t="shared" si="15"/>
        <v>400</v>
      </c>
      <c r="AF67" s="37">
        <f t="shared" si="15"/>
        <v>400</v>
      </c>
      <c r="AG67" s="37">
        <f t="shared" si="15"/>
        <v>600</v>
      </c>
      <c r="AH67" s="37">
        <f t="shared" si="15"/>
        <v>600</v>
      </c>
      <c r="AI67" s="37">
        <f t="shared" si="15"/>
        <v>600</v>
      </c>
      <c r="AJ67" s="37">
        <f t="shared" si="15"/>
        <v>600</v>
      </c>
      <c r="AK67" s="37">
        <f t="shared" si="15"/>
        <v>600</v>
      </c>
      <c r="AL67" s="37">
        <f t="shared" si="15"/>
        <v>600</v>
      </c>
      <c r="AM67" s="37">
        <f t="shared" si="15"/>
        <v>600</v>
      </c>
      <c r="AN67" s="37">
        <f t="shared" si="15"/>
        <v>600</v>
      </c>
      <c r="AO67" s="37">
        <f t="shared" si="15"/>
        <v>600</v>
      </c>
      <c r="AP67" s="37">
        <f t="shared" ref="AP67:BE68" si="16">$H67*AP$8</f>
        <v>600</v>
      </c>
      <c r="AQ67" s="37">
        <f t="shared" si="16"/>
        <v>600</v>
      </c>
      <c r="AR67" s="37">
        <f t="shared" si="16"/>
        <v>600</v>
      </c>
      <c r="AS67" s="37">
        <f t="shared" si="16"/>
        <v>800</v>
      </c>
      <c r="AT67" s="37">
        <f t="shared" si="16"/>
        <v>800</v>
      </c>
      <c r="AU67" s="37">
        <f t="shared" si="16"/>
        <v>800</v>
      </c>
      <c r="AV67" s="37">
        <f t="shared" si="16"/>
        <v>800</v>
      </c>
      <c r="AW67" s="37">
        <f t="shared" si="16"/>
        <v>800</v>
      </c>
      <c r="AX67" s="37">
        <f t="shared" si="16"/>
        <v>800</v>
      </c>
      <c r="AY67" s="37">
        <f t="shared" si="16"/>
        <v>800</v>
      </c>
      <c r="AZ67" s="37">
        <f t="shared" si="16"/>
        <v>800</v>
      </c>
      <c r="BA67" s="37">
        <f t="shared" si="16"/>
        <v>800</v>
      </c>
      <c r="BB67" s="37">
        <f t="shared" si="16"/>
        <v>800</v>
      </c>
      <c r="BC67" s="37">
        <f t="shared" si="16"/>
        <v>800</v>
      </c>
      <c r="BD67" s="37">
        <f t="shared" si="16"/>
        <v>800</v>
      </c>
      <c r="BE67" s="37">
        <f t="shared" si="16"/>
        <v>1000</v>
      </c>
      <c r="BF67" s="37">
        <f t="shared" ref="BF67:BP68" si="17">$H67*BF$8</f>
        <v>1000</v>
      </c>
      <c r="BG67" s="37">
        <f t="shared" si="17"/>
        <v>1000</v>
      </c>
      <c r="BH67" s="37">
        <f t="shared" si="17"/>
        <v>1000</v>
      </c>
      <c r="BI67" s="37">
        <f t="shared" si="17"/>
        <v>1000</v>
      </c>
      <c r="BJ67" s="37">
        <f t="shared" si="17"/>
        <v>1000</v>
      </c>
      <c r="BK67" s="37">
        <f t="shared" si="17"/>
        <v>1000</v>
      </c>
      <c r="BL67" s="37">
        <f t="shared" si="17"/>
        <v>1000</v>
      </c>
      <c r="BM67" s="37">
        <f t="shared" si="17"/>
        <v>1000</v>
      </c>
      <c r="BN67" s="37">
        <f t="shared" si="17"/>
        <v>1000</v>
      </c>
      <c r="BO67" s="37">
        <f t="shared" si="17"/>
        <v>1000</v>
      </c>
      <c r="BP67" s="37">
        <f t="shared" si="17"/>
        <v>1000</v>
      </c>
    </row>
    <row r="68" spans="1:68" s="30" customFormat="1" ht="15" x14ac:dyDescent="0.25">
      <c r="E68" s="30" t="s">
        <v>112</v>
      </c>
      <c r="H68" s="30">
        <f>AssmIT</f>
        <v>200</v>
      </c>
      <c r="I68" s="37">
        <f t="shared" ref="I68" si="18">$H68*I$8</f>
        <v>200</v>
      </c>
      <c r="J68" s="37">
        <f t="shared" si="14"/>
        <v>200</v>
      </c>
      <c r="K68" s="37">
        <f t="shared" si="14"/>
        <v>200</v>
      </c>
      <c r="L68" s="37">
        <f t="shared" si="14"/>
        <v>200</v>
      </c>
      <c r="M68" s="37">
        <f t="shared" si="14"/>
        <v>200</v>
      </c>
      <c r="N68" s="37">
        <f t="shared" si="14"/>
        <v>200</v>
      </c>
      <c r="O68" s="37">
        <f t="shared" si="14"/>
        <v>200</v>
      </c>
      <c r="P68" s="37">
        <f t="shared" si="14"/>
        <v>200</v>
      </c>
      <c r="Q68" s="37">
        <f t="shared" si="14"/>
        <v>200</v>
      </c>
      <c r="R68" s="37">
        <f t="shared" si="14"/>
        <v>200</v>
      </c>
      <c r="S68" s="37">
        <f t="shared" si="14"/>
        <v>200</v>
      </c>
      <c r="T68" s="37">
        <f t="shared" si="14"/>
        <v>200</v>
      </c>
      <c r="U68" s="37">
        <f t="shared" si="14"/>
        <v>400</v>
      </c>
      <c r="V68" s="37">
        <f t="shared" si="14"/>
        <v>400</v>
      </c>
      <c r="W68" s="37">
        <f t="shared" si="14"/>
        <v>400</v>
      </c>
      <c r="X68" s="37">
        <f t="shared" si="14"/>
        <v>400</v>
      </c>
      <c r="Y68" s="37">
        <f t="shared" si="14"/>
        <v>400</v>
      </c>
      <c r="Z68" s="37">
        <f t="shared" si="15"/>
        <v>400</v>
      </c>
      <c r="AA68" s="37">
        <f t="shared" si="15"/>
        <v>400</v>
      </c>
      <c r="AB68" s="37">
        <f t="shared" si="15"/>
        <v>400</v>
      </c>
      <c r="AC68" s="37">
        <f t="shared" si="15"/>
        <v>400</v>
      </c>
      <c r="AD68" s="37">
        <f t="shared" si="15"/>
        <v>400</v>
      </c>
      <c r="AE68" s="37">
        <f t="shared" si="15"/>
        <v>400</v>
      </c>
      <c r="AF68" s="37">
        <f t="shared" si="15"/>
        <v>400</v>
      </c>
      <c r="AG68" s="37">
        <f t="shared" si="15"/>
        <v>600</v>
      </c>
      <c r="AH68" s="37">
        <f t="shared" si="15"/>
        <v>600</v>
      </c>
      <c r="AI68" s="37">
        <f t="shared" si="15"/>
        <v>600</v>
      </c>
      <c r="AJ68" s="37">
        <f t="shared" si="15"/>
        <v>600</v>
      </c>
      <c r="AK68" s="37">
        <f t="shared" si="15"/>
        <v>600</v>
      </c>
      <c r="AL68" s="37">
        <f t="shared" si="15"/>
        <v>600</v>
      </c>
      <c r="AM68" s="37">
        <f t="shared" si="15"/>
        <v>600</v>
      </c>
      <c r="AN68" s="37">
        <f t="shared" si="15"/>
        <v>600</v>
      </c>
      <c r="AO68" s="37">
        <f t="shared" si="15"/>
        <v>600</v>
      </c>
      <c r="AP68" s="37">
        <f t="shared" si="16"/>
        <v>600</v>
      </c>
      <c r="AQ68" s="37">
        <f t="shared" si="16"/>
        <v>600</v>
      </c>
      <c r="AR68" s="37">
        <f t="shared" si="16"/>
        <v>600</v>
      </c>
      <c r="AS68" s="37">
        <f t="shared" si="16"/>
        <v>800</v>
      </c>
      <c r="AT68" s="37">
        <f t="shared" si="16"/>
        <v>800</v>
      </c>
      <c r="AU68" s="37">
        <f t="shared" si="16"/>
        <v>800</v>
      </c>
      <c r="AV68" s="37">
        <f t="shared" si="16"/>
        <v>800</v>
      </c>
      <c r="AW68" s="37">
        <f t="shared" si="16"/>
        <v>800</v>
      </c>
      <c r="AX68" s="37">
        <f t="shared" si="16"/>
        <v>800</v>
      </c>
      <c r="AY68" s="37">
        <f t="shared" si="16"/>
        <v>800</v>
      </c>
      <c r="AZ68" s="37">
        <f t="shared" si="16"/>
        <v>800</v>
      </c>
      <c r="BA68" s="37">
        <f t="shared" si="16"/>
        <v>800</v>
      </c>
      <c r="BB68" s="37">
        <f t="shared" si="16"/>
        <v>800</v>
      </c>
      <c r="BC68" s="37">
        <f t="shared" si="16"/>
        <v>800</v>
      </c>
      <c r="BD68" s="37">
        <f t="shared" si="16"/>
        <v>800</v>
      </c>
      <c r="BE68" s="37">
        <f t="shared" si="16"/>
        <v>1000</v>
      </c>
      <c r="BF68" s="37">
        <f t="shared" si="17"/>
        <v>1000</v>
      </c>
      <c r="BG68" s="37">
        <f t="shared" si="17"/>
        <v>1000</v>
      </c>
      <c r="BH68" s="37">
        <f t="shared" si="17"/>
        <v>1000</v>
      </c>
      <c r="BI68" s="37">
        <f t="shared" si="17"/>
        <v>1000</v>
      </c>
      <c r="BJ68" s="37">
        <f t="shared" si="17"/>
        <v>1000</v>
      </c>
      <c r="BK68" s="37">
        <f t="shared" si="17"/>
        <v>1000</v>
      </c>
      <c r="BL68" s="37">
        <f t="shared" si="17"/>
        <v>1000</v>
      </c>
      <c r="BM68" s="37">
        <f t="shared" si="17"/>
        <v>1000</v>
      </c>
      <c r="BN68" s="37">
        <f t="shared" si="17"/>
        <v>1000</v>
      </c>
      <c r="BO68" s="37">
        <f t="shared" si="17"/>
        <v>1000</v>
      </c>
      <c r="BP68" s="37">
        <f t="shared" si="17"/>
        <v>1000</v>
      </c>
    </row>
    <row r="69" spans="1:68" s="30" customFormat="1" ht="15" x14ac:dyDescent="0.25">
      <c r="E69" s="30" t="s">
        <v>113</v>
      </c>
      <c r="H69" s="46">
        <f>AssmBankFees</f>
        <v>0.02</v>
      </c>
      <c r="I69" s="37">
        <f t="shared" ref="I69:AN69" ca="1" si="19">$H69*I22</f>
        <v>51.6</v>
      </c>
      <c r="J69" s="37">
        <f t="shared" ca="1" si="19"/>
        <v>66.8</v>
      </c>
      <c r="K69" s="37">
        <f t="shared" ca="1" si="19"/>
        <v>86.4</v>
      </c>
      <c r="L69" s="37">
        <f t="shared" ca="1" si="19"/>
        <v>112</v>
      </c>
      <c r="M69" s="37">
        <f t="shared" ca="1" si="19"/>
        <v>145.20000000000002</v>
      </c>
      <c r="N69" s="37">
        <f t="shared" ca="1" si="19"/>
        <v>188.4</v>
      </c>
      <c r="O69" s="37">
        <f t="shared" ca="1" si="19"/>
        <v>244</v>
      </c>
      <c r="P69" s="37">
        <f t="shared" ca="1" si="19"/>
        <v>316.40000000000003</v>
      </c>
      <c r="Q69" s="37">
        <f t="shared" ca="1" si="19"/>
        <v>410.40000000000003</v>
      </c>
      <c r="R69" s="37">
        <f t="shared" ca="1" si="19"/>
        <v>532.4</v>
      </c>
      <c r="S69" s="37">
        <f t="shared" ca="1" si="19"/>
        <v>690.4</v>
      </c>
      <c r="T69" s="37">
        <f t="shared" ca="1" si="19"/>
        <v>895.6</v>
      </c>
      <c r="U69" s="37">
        <f t="shared" ca="1" si="19"/>
        <v>1162.8</v>
      </c>
      <c r="V69" s="37">
        <f t="shared" ca="1" si="19"/>
        <v>1509.6000000000001</v>
      </c>
      <c r="W69" s="37">
        <f t="shared" ca="1" si="19"/>
        <v>1960</v>
      </c>
      <c r="X69" s="37">
        <f t="shared" ca="1" si="19"/>
        <v>2544.8000000000002</v>
      </c>
      <c r="Y69" s="37">
        <f t="shared" ca="1" si="19"/>
        <v>3304.4</v>
      </c>
      <c r="Z69" s="37">
        <f t="shared" ca="1" si="19"/>
        <v>4290.3999999999996</v>
      </c>
      <c r="AA69" s="37">
        <f t="shared" ca="1" si="19"/>
        <v>5570.8</v>
      </c>
      <c r="AB69" s="37">
        <f t="shared" ca="1" si="19"/>
        <v>7233.6</v>
      </c>
      <c r="AC69" s="37">
        <f t="shared" ca="1" si="19"/>
        <v>9392.4</v>
      </c>
      <c r="AD69" s="37">
        <f t="shared" ca="1" si="19"/>
        <v>12195.6</v>
      </c>
      <c r="AE69" s="37">
        <f t="shared" ca="1" si="19"/>
        <v>15836</v>
      </c>
      <c r="AF69" s="37">
        <f t="shared" ca="1" si="19"/>
        <v>20562.8</v>
      </c>
      <c r="AG69" s="37">
        <f t="shared" ca="1" si="19"/>
        <v>28235</v>
      </c>
      <c r="AH69" s="37">
        <f t="shared" ca="1" si="19"/>
        <v>31016</v>
      </c>
      <c r="AI69" s="37">
        <f t="shared" ca="1" si="19"/>
        <v>34070.5</v>
      </c>
      <c r="AJ69" s="37">
        <f t="shared" ca="1" si="19"/>
        <v>37426</v>
      </c>
      <c r="AK69" s="37">
        <f t="shared" ca="1" si="19"/>
        <v>41112</v>
      </c>
      <c r="AL69" s="37">
        <f t="shared" ca="1" si="19"/>
        <v>45161</v>
      </c>
      <c r="AM69" s="37">
        <f t="shared" ca="1" si="19"/>
        <v>49609</v>
      </c>
      <c r="AN69" s="37">
        <f t="shared" ca="1" si="19"/>
        <v>54495.5</v>
      </c>
      <c r="AO69" s="37">
        <f t="shared" ref="AO69:BP69" ca="1" si="20">$H69*AO22</f>
        <v>59863</v>
      </c>
      <c r="AP69" s="37">
        <f t="shared" ca="1" si="20"/>
        <v>65759.5</v>
      </c>
      <c r="AQ69" s="37">
        <f t="shared" ca="1" si="20"/>
        <v>72236.5</v>
      </c>
      <c r="AR69" s="37">
        <f t="shared" ca="1" si="20"/>
        <v>79351.5</v>
      </c>
      <c r="AS69" s="37">
        <f t="shared" ca="1" si="20"/>
        <v>87207</v>
      </c>
      <c r="AT69" s="37">
        <f t="shared" ca="1" si="20"/>
        <v>95840</v>
      </c>
      <c r="AU69" s="37">
        <f t="shared" ca="1" si="20"/>
        <v>105328</v>
      </c>
      <c r="AV69" s="37">
        <f t="shared" ca="1" si="20"/>
        <v>115755.5</v>
      </c>
      <c r="AW69" s="37">
        <f t="shared" ca="1" si="20"/>
        <v>127215</v>
      </c>
      <c r="AX69" s="37">
        <f t="shared" ca="1" si="20"/>
        <v>139809</v>
      </c>
      <c r="AY69" s="37">
        <f t="shared" ca="1" si="20"/>
        <v>153650</v>
      </c>
      <c r="AZ69" s="37">
        <f t="shared" ca="1" si="20"/>
        <v>168861</v>
      </c>
      <c r="BA69" s="37">
        <f t="shared" ca="1" si="20"/>
        <v>185578</v>
      </c>
      <c r="BB69" s="37">
        <f t="shared" ca="1" si="20"/>
        <v>203950</v>
      </c>
      <c r="BC69" s="37">
        <f t="shared" ca="1" si="20"/>
        <v>224141</v>
      </c>
      <c r="BD69" s="37">
        <f t="shared" ca="1" si="20"/>
        <v>246330.5</v>
      </c>
      <c r="BE69" s="37">
        <f t="shared" ca="1" si="20"/>
        <v>324860.40000000002</v>
      </c>
      <c r="BF69" s="37">
        <f t="shared" ca="1" si="20"/>
        <v>357021</v>
      </c>
      <c r="BG69" s="37">
        <f t="shared" ca="1" si="20"/>
        <v>392365.8</v>
      </c>
      <c r="BH69" s="37">
        <f t="shared" ca="1" si="20"/>
        <v>431209.8</v>
      </c>
      <c r="BI69" s="37">
        <f t="shared" ca="1" si="20"/>
        <v>473899.2</v>
      </c>
      <c r="BJ69" s="37">
        <f t="shared" ca="1" si="20"/>
        <v>520815</v>
      </c>
      <c r="BK69" s="37">
        <f t="shared" ca="1" si="20"/>
        <v>572375.4</v>
      </c>
      <c r="BL69" s="37">
        <f t="shared" ca="1" si="20"/>
        <v>629040.6</v>
      </c>
      <c r="BM69" s="37">
        <f t="shared" ca="1" si="20"/>
        <v>691315.20000000007</v>
      </c>
      <c r="BN69" s="37">
        <f t="shared" ca="1" si="20"/>
        <v>759754.8</v>
      </c>
      <c r="BO69" s="37">
        <f t="shared" ca="1" si="20"/>
        <v>834970.20000000007</v>
      </c>
      <c r="BP69" s="37">
        <f t="shared" ca="1" si="20"/>
        <v>917632.20000000007</v>
      </c>
    </row>
    <row r="70" spans="1:68" s="30" customFormat="1" ht="15" x14ac:dyDescent="0.25">
      <c r="E70" s="30" t="s">
        <v>114</v>
      </c>
      <c r="H70" s="30">
        <f>AssmHosting</f>
        <v>300</v>
      </c>
      <c r="I70" s="37">
        <f>$H70*I$8</f>
        <v>300</v>
      </c>
      <c r="J70" s="37">
        <f t="shared" ref="J70:BP70" si="21">$H70*J$8</f>
        <v>300</v>
      </c>
      <c r="K70" s="37">
        <f t="shared" si="21"/>
        <v>300</v>
      </c>
      <c r="L70" s="37">
        <f t="shared" si="21"/>
        <v>300</v>
      </c>
      <c r="M70" s="37">
        <f t="shared" si="21"/>
        <v>300</v>
      </c>
      <c r="N70" s="37">
        <f t="shared" si="21"/>
        <v>300</v>
      </c>
      <c r="O70" s="37">
        <f t="shared" si="21"/>
        <v>300</v>
      </c>
      <c r="P70" s="37">
        <f t="shared" si="21"/>
        <v>300</v>
      </c>
      <c r="Q70" s="37">
        <f t="shared" si="21"/>
        <v>300</v>
      </c>
      <c r="R70" s="37">
        <f t="shared" si="21"/>
        <v>300</v>
      </c>
      <c r="S70" s="37">
        <f t="shared" si="21"/>
        <v>300</v>
      </c>
      <c r="T70" s="37">
        <f t="shared" si="21"/>
        <v>300</v>
      </c>
      <c r="U70" s="37">
        <f t="shared" si="21"/>
        <v>600</v>
      </c>
      <c r="V70" s="37">
        <f t="shared" si="21"/>
        <v>600</v>
      </c>
      <c r="W70" s="37">
        <f t="shared" si="21"/>
        <v>600</v>
      </c>
      <c r="X70" s="37">
        <f t="shared" si="21"/>
        <v>600</v>
      </c>
      <c r="Y70" s="37">
        <f t="shared" si="21"/>
        <v>600</v>
      </c>
      <c r="Z70" s="37">
        <f t="shared" si="21"/>
        <v>600</v>
      </c>
      <c r="AA70" s="37">
        <f t="shared" si="21"/>
        <v>600</v>
      </c>
      <c r="AB70" s="37">
        <f t="shared" si="21"/>
        <v>600</v>
      </c>
      <c r="AC70" s="37">
        <f t="shared" si="21"/>
        <v>600</v>
      </c>
      <c r="AD70" s="37">
        <f t="shared" si="21"/>
        <v>600</v>
      </c>
      <c r="AE70" s="37">
        <f t="shared" si="21"/>
        <v>600</v>
      </c>
      <c r="AF70" s="37">
        <f t="shared" si="21"/>
        <v>600</v>
      </c>
      <c r="AG70" s="37">
        <f t="shared" si="21"/>
        <v>900</v>
      </c>
      <c r="AH70" s="37">
        <f t="shared" si="21"/>
        <v>900</v>
      </c>
      <c r="AI70" s="37">
        <f t="shared" si="21"/>
        <v>900</v>
      </c>
      <c r="AJ70" s="37">
        <f t="shared" si="21"/>
        <v>900</v>
      </c>
      <c r="AK70" s="37">
        <f t="shared" si="21"/>
        <v>900</v>
      </c>
      <c r="AL70" s="37">
        <f t="shared" si="21"/>
        <v>900</v>
      </c>
      <c r="AM70" s="37">
        <f t="shared" si="21"/>
        <v>900</v>
      </c>
      <c r="AN70" s="37">
        <f t="shared" si="21"/>
        <v>900</v>
      </c>
      <c r="AO70" s="37">
        <f t="shared" si="21"/>
        <v>900</v>
      </c>
      <c r="AP70" s="37">
        <f t="shared" si="21"/>
        <v>900</v>
      </c>
      <c r="AQ70" s="37">
        <f t="shared" si="21"/>
        <v>900</v>
      </c>
      <c r="AR70" s="37">
        <f t="shared" si="21"/>
        <v>900</v>
      </c>
      <c r="AS70" s="37">
        <f t="shared" si="21"/>
        <v>1200</v>
      </c>
      <c r="AT70" s="37">
        <f t="shared" si="21"/>
        <v>1200</v>
      </c>
      <c r="AU70" s="37">
        <f t="shared" si="21"/>
        <v>1200</v>
      </c>
      <c r="AV70" s="37">
        <f t="shared" si="21"/>
        <v>1200</v>
      </c>
      <c r="AW70" s="37">
        <f t="shared" si="21"/>
        <v>1200</v>
      </c>
      <c r="AX70" s="37">
        <f t="shared" si="21"/>
        <v>1200</v>
      </c>
      <c r="AY70" s="37">
        <f t="shared" si="21"/>
        <v>1200</v>
      </c>
      <c r="AZ70" s="37">
        <f t="shared" si="21"/>
        <v>1200</v>
      </c>
      <c r="BA70" s="37">
        <f t="shared" si="21"/>
        <v>1200</v>
      </c>
      <c r="BB70" s="37">
        <f t="shared" si="21"/>
        <v>1200</v>
      </c>
      <c r="BC70" s="37">
        <f t="shared" si="21"/>
        <v>1200</v>
      </c>
      <c r="BD70" s="37">
        <f t="shared" si="21"/>
        <v>1200</v>
      </c>
      <c r="BE70" s="37">
        <f t="shared" si="21"/>
        <v>1500</v>
      </c>
      <c r="BF70" s="37">
        <f t="shared" si="21"/>
        <v>1500</v>
      </c>
      <c r="BG70" s="37">
        <f t="shared" si="21"/>
        <v>1500</v>
      </c>
      <c r="BH70" s="37">
        <f t="shared" si="21"/>
        <v>1500</v>
      </c>
      <c r="BI70" s="37">
        <f t="shared" si="21"/>
        <v>1500</v>
      </c>
      <c r="BJ70" s="37">
        <f t="shared" si="21"/>
        <v>1500</v>
      </c>
      <c r="BK70" s="37">
        <f t="shared" si="21"/>
        <v>1500</v>
      </c>
      <c r="BL70" s="37">
        <f t="shared" si="21"/>
        <v>1500</v>
      </c>
      <c r="BM70" s="37">
        <f t="shared" si="21"/>
        <v>1500</v>
      </c>
      <c r="BN70" s="37">
        <f t="shared" si="21"/>
        <v>1500</v>
      </c>
      <c r="BO70" s="37">
        <f t="shared" si="21"/>
        <v>1500</v>
      </c>
      <c r="BP70" s="37">
        <f t="shared" si="21"/>
        <v>1500</v>
      </c>
    </row>
    <row r="71" spans="1:68" s="30" customFormat="1" ht="15" x14ac:dyDescent="0.25">
      <c r="E71" s="30" t="s">
        <v>115</v>
      </c>
      <c r="H71" s="30">
        <f>AssmOffice</f>
        <v>100</v>
      </c>
      <c r="I71" s="37">
        <f t="shared" ref="I71:AN71" si="22">$H71*SUM(I53:I56,I27:I32)</f>
        <v>170</v>
      </c>
      <c r="J71" s="37">
        <f t="shared" si="22"/>
        <v>270</v>
      </c>
      <c r="K71" s="37">
        <f t="shared" si="22"/>
        <v>750</v>
      </c>
      <c r="L71" s="37">
        <f t="shared" si="22"/>
        <v>1000</v>
      </c>
      <c r="M71" s="37">
        <f t="shared" si="22"/>
        <v>1100</v>
      </c>
      <c r="N71" s="37">
        <f t="shared" si="22"/>
        <v>1400</v>
      </c>
      <c r="O71" s="37">
        <f t="shared" si="22"/>
        <v>1700</v>
      </c>
      <c r="P71" s="37">
        <f t="shared" si="22"/>
        <v>1700</v>
      </c>
      <c r="Q71" s="37">
        <f t="shared" si="22"/>
        <v>1900</v>
      </c>
      <c r="R71" s="37">
        <f t="shared" si="22"/>
        <v>2200</v>
      </c>
      <c r="S71" s="37">
        <f t="shared" si="22"/>
        <v>2500</v>
      </c>
      <c r="T71" s="37">
        <f t="shared" si="22"/>
        <v>2800</v>
      </c>
      <c r="U71" s="37">
        <f t="shared" si="22"/>
        <v>3000</v>
      </c>
      <c r="V71" s="37">
        <f t="shared" si="22"/>
        <v>3300</v>
      </c>
      <c r="W71" s="37">
        <f t="shared" si="22"/>
        <v>3600</v>
      </c>
      <c r="X71" s="37">
        <f t="shared" si="22"/>
        <v>3800</v>
      </c>
      <c r="Y71" s="37">
        <f t="shared" si="22"/>
        <v>4100</v>
      </c>
      <c r="Z71" s="37">
        <f t="shared" si="22"/>
        <v>4400</v>
      </c>
      <c r="AA71" s="37">
        <f t="shared" si="22"/>
        <v>4600</v>
      </c>
      <c r="AB71" s="37">
        <f t="shared" si="22"/>
        <v>4800</v>
      </c>
      <c r="AC71" s="37">
        <f t="shared" si="22"/>
        <v>5300</v>
      </c>
      <c r="AD71" s="37">
        <f t="shared" si="22"/>
        <v>5500</v>
      </c>
      <c r="AE71" s="37">
        <f t="shared" si="22"/>
        <v>5700</v>
      </c>
      <c r="AF71" s="37">
        <f t="shared" si="22"/>
        <v>6100</v>
      </c>
      <c r="AG71" s="37">
        <f t="shared" si="22"/>
        <v>6300</v>
      </c>
      <c r="AH71" s="37">
        <f t="shared" si="22"/>
        <v>6600</v>
      </c>
      <c r="AI71" s="37">
        <f t="shared" si="22"/>
        <v>6900</v>
      </c>
      <c r="AJ71" s="37">
        <f t="shared" si="22"/>
        <v>7100</v>
      </c>
      <c r="AK71" s="37">
        <f t="shared" si="22"/>
        <v>7400</v>
      </c>
      <c r="AL71" s="37">
        <f t="shared" si="22"/>
        <v>7800</v>
      </c>
      <c r="AM71" s="37">
        <f t="shared" si="22"/>
        <v>8000</v>
      </c>
      <c r="AN71" s="37">
        <f t="shared" si="22"/>
        <v>8200</v>
      </c>
      <c r="AO71" s="37">
        <f t="shared" ref="AO71:BP71" si="23">$H71*SUM(AO53:AO56,AO27:AO32)</f>
        <v>8600</v>
      </c>
      <c r="AP71" s="37">
        <f t="shared" si="23"/>
        <v>8800</v>
      </c>
      <c r="AQ71" s="37">
        <f t="shared" si="23"/>
        <v>9100</v>
      </c>
      <c r="AR71" s="37">
        <f t="shared" si="23"/>
        <v>9400</v>
      </c>
      <c r="AS71" s="37">
        <f t="shared" si="23"/>
        <v>9400</v>
      </c>
      <c r="AT71" s="37">
        <f t="shared" si="23"/>
        <v>9400</v>
      </c>
      <c r="AU71" s="37">
        <f t="shared" si="23"/>
        <v>9400</v>
      </c>
      <c r="AV71" s="37">
        <f t="shared" si="23"/>
        <v>9400</v>
      </c>
      <c r="AW71" s="37">
        <f t="shared" si="23"/>
        <v>9400</v>
      </c>
      <c r="AX71" s="37">
        <f t="shared" si="23"/>
        <v>9400</v>
      </c>
      <c r="AY71" s="37">
        <f t="shared" si="23"/>
        <v>9400</v>
      </c>
      <c r="AZ71" s="37">
        <f t="shared" si="23"/>
        <v>9400</v>
      </c>
      <c r="BA71" s="37">
        <f t="shared" si="23"/>
        <v>9400</v>
      </c>
      <c r="BB71" s="37">
        <f t="shared" si="23"/>
        <v>9400</v>
      </c>
      <c r="BC71" s="37">
        <f t="shared" si="23"/>
        <v>9400</v>
      </c>
      <c r="BD71" s="37">
        <f t="shared" si="23"/>
        <v>9400</v>
      </c>
      <c r="BE71" s="37">
        <f t="shared" si="23"/>
        <v>9400</v>
      </c>
      <c r="BF71" s="37">
        <f t="shared" si="23"/>
        <v>9400</v>
      </c>
      <c r="BG71" s="37">
        <f t="shared" si="23"/>
        <v>9400</v>
      </c>
      <c r="BH71" s="37">
        <f t="shared" si="23"/>
        <v>9400</v>
      </c>
      <c r="BI71" s="37">
        <f t="shared" si="23"/>
        <v>9400</v>
      </c>
      <c r="BJ71" s="37">
        <f t="shared" si="23"/>
        <v>9400</v>
      </c>
      <c r="BK71" s="37">
        <f t="shared" si="23"/>
        <v>9400</v>
      </c>
      <c r="BL71" s="37">
        <f t="shared" si="23"/>
        <v>9400</v>
      </c>
      <c r="BM71" s="37">
        <f t="shared" si="23"/>
        <v>9400</v>
      </c>
      <c r="BN71" s="37">
        <f t="shared" si="23"/>
        <v>9400</v>
      </c>
      <c r="BO71" s="37">
        <f t="shared" si="23"/>
        <v>9400</v>
      </c>
      <c r="BP71" s="37">
        <f t="shared" si="23"/>
        <v>9400</v>
      </c>
    </row>
    <row r="72" spans="1:68" s="30" customFormat="1" ht="15" x14ac:dyDescent="0.25">
      <c r="E72" s="30" t="s">
        <v>116</v>
      </c>
      <c r="H72" s="30">
        <f>AssmTelecom</f>
        <v>50</v>
      </c>
      <c r="I72" s="37">
        <f t="shared" ref="I72:AN72" si="24">$H72*SUM(I53:I56,I27:I32)</f>
        <v>85</v>
      </c>
      <c r="J72" s="37">
        <f t="shared" si="24"/>
        <v>135</v>
      </c>
      <c r="K72" s="37">
        <f t="shared" si="24"/>
        <v>375</v>
      </c>
      <c r="L72" s="37">
        <f t="shared" si="24"/>
        <v>500</v>
      </c>
      <c r="M72" s="37">
        <f t="shared" si="24"/>
        <v>550</v>
      </c>
      <c r="N72" s="37">
        <f t="shared" si="24"/>
        <v>700</v>
      </c>
      <c r="O72" s="37">
        <f t="shared" si="24"/>
        <v>850</v>
      </c>
      <c r="P72" s="37">
        <f t="shared" si="24"/>
        <v>850</v>
      </c>
      <c r="Q72" s="37">
        <f t="shared" si="24"/>
        <v>950</v>
      </c>
      <c r="R72" s="37">
        <f t="shared" si="24"/>
        <v>1100</v>
      </c>
      <c r="S72" s="37">
        <f t="shared" si="24"/>
        <v>1250</v>
      </c>
      <c r="T72" s="37">
        <f t="shared" si="24"/>
        <v>1400</v>
      </c>
      <c r="U72" s="37">
        <f t="shared" si="24"/>
        <v>1500</v>
      </c>
      <c r="V72" s="37">
        <f t="shared" si="24"/>
        <v>1650</v>
      </c>
      <c r="W72" s="37">
        <f t="shared" si="24"/>
        <v>1800</v>
      </c>
      <c r="X72" s="37">
        <f t="shared" si="24"/>
        <v>1900</v>
      </c>
      <c r="Y72" s="37">
        <f t="shared" si="24"/>
        <v>2050</v>
      </c>
      <c r="Z72" s="37">
        <f t="shared" si="24"/>
        <v>2200</v>
      </c>
      <c r="AA72" s="37">
        <f t="shared" si="24"/>
        <v>2300</v>
      </c>
      <c r="AB72" s="37">
        <f t="shared" si="24"/>
        <v>2400</v>
      </c>
      <c r="AC72" s="37">
        <f t="shared" si="24"/>
        <v>2650</v>
      </c>
      <c r="AD72" s="37">
        <f t="shared" si="24"/>
        <v>2750</v>
      </c>
      <c r="AE72" s="37">
        <f t="shared" si="24"/>
        <v>2850</v>
      </c>
      <c r="AF72" s="37">
        <f t="shared" si="24"/>
        <v>3050</v>
      </c>
      <c r="AG72" s="37">
        <f t="shared" si="24"/>
        <v>3150</v>
      </c>
      <c r="AH72" s="37">
        <f t="shared" si="24"/>
        <v>3300</v>
      </c>
      <c r="AI72" s="37">
        <f t="shared" si="24"/>
        <v>3450</v>
      </c>
      <c r="AJ72" s="37">
        <f t="shared" si="24"/>
        <v>3550</v>
      </c>
      <c r="AK72" s="37">
        <f t="shared" si="24"/>
        <v>3700</v>
      </c>
      <c r="AL72" s="37">
        <f t="shared" si="24"/>
        <v>3900</v>
      </c>
      <c r="AM72" s="37">
        <f t="shared" si="24"/>
        <v>4000</v>
      </c>
      <c r="AN72" s="37">
        <f t="shared" si="24"/>
        <v>4100</v>
      </c>
      <c r="AO72" s="37">
        <f t="shared" ref="AO72:BP72" si="25">$H72*SUM(AO53:AO56,AO27:AO32)</f>
        <v>4300</v>
      </c>
      <c r="AP72" s="37">
        <f t="shared" si="25"/>
        <v>4400</v>
      </c>
      <c r="AQ72" s="37">
        <f t="shared" si="25"/>
        <v>4550</v>
      </c>
      <c r="AR72" s="37">
        <f t="shared" si="25"/>
        <v>4700</v>
      </c>
      <c r="AS72" s="37">
        <f t="shared" si="25"/>
        <v>4700</v>
      </c>
      <c r="AT72" s="37">
        <f t="shared" si="25"/>
        <v>4700</v>
      </c>
      <c r="AU72" s="37">
        <f t="shared" si="25"/>
        <v>4700</v>
      </c>
      <c r="AV72" s="37">
        <f t="shared" si="25"/>
        <v>4700</v>
      </c>
      <c r="AW72" s="37">
        <f t="shared" si="25"/>
        <v>4700</v>
      </c>
      <c r="AX72" s="37">
        <f t="shared" si="25"/>
        <v>4700</v>
      </c>
      <c r="AY72" s="37">
        <f t="shared" si="25"/>
        <v>4700</v>
      </c>
      <c r="AZ72" s="37">
        <f t="shared" si="25"/>
        <v>4700</v>
      </c>
      <c r="BA72" s="37">
        <f t="shared" si="25"/>
        <v>4700</v>
      </c>
      <c r="BB72" s="37">
        <f t="shared" si="25"/>
        <v>4700</v>
      </c>
      <c r="BC72" s="37">
        <f t="shared" si="25"/>
        <v>4700</v>
      </c>
      <c r="BD72" s="37">
        <f t="shared" si="25"/>
        <v>4700</v>
      </c>
      <c r="BE72" s="37">
        <f t="shared" si="25"/>
        <v>4700</v>
      </c>
      <c r="BF72" s="37">
        <f t="shared" si="25"/>
        <v>4700</v>
      </c>
      <c r="BG72" s="37">
        <f t="shared" si="25"/>
        <v>4700</v>
      </c>
      <c r="BH72" s="37">
        <f t="shared" si="25"/>
        <v>4700</v>
      </c>
      <c r="BI72" s="37">
        <f t="shared" si="25"/>
        <v>4700</v>
      </c>
      <c r="BJ72" s="37">
        <f t="shared" si="25"/>
        <v>4700</v>
      </c>
      <c r="BK72" s="37">
        <f t="shared" si="25"/>
        <v>4700</v>
      </c>
      <c r="BL72" s="37">
        <f t="shared" si="25"/>
        <v>4700</v>
      </c>
      <c r="BM72" s="37">
        <f t="shared" si="25"/>
        <v>4700</v>
      </c>
      <c r="BN72" s="37">
        <f t="shared" si="25"/>
        <v>4700</v>
      </c>
      <c r="BO72" s="37">
        <f t="shared" si="25"/>
        <v>4700</v>
      </c>
      <c r="BP72" s="37">
        <f t="shared" si="25"/>
        <v>4700</v>
      </c>
    </row>
    <row r="73" spans="1:68" s="30" customFormat="1" ht="15" x14ac:dyDescent="0.25">
      <c r="E73" s="30" t="s">
        <v>117</v>
      </c>
      <c r="H73" s="45">
        <f>AssmContingency</f>
        <v>0.1</v>
      </c>
      <c r="I73" s="37">
        <f t="shared" ref="I73:AN73" ca="1" si="26">$H73*(SUM(I45,I63,I58,I66:I72))</f>
        <v>2268.06</v>
      </c>
      <c r="J73" s="37">
        <f t="shared" ca="1" si="26"/>
        <v>3367.3800000000006</v>
      </c>
      <c r="K73" s="37">
        <f t="shared" ca="1" si="26"/>
        <v>7277.4066666666668</v>
      </c>
      <c r="L73" s="37">
        <f t="shared" ca="1" si="26"/>
        <v>9309.2000000000025</v>
      </c>
      <c r="M73" s="37">
        <f t="shared" ca="1" si="26"/>
        <v>10187.32</v>
      </c>
      <c r="N73" s="37">
        <f t="shared" ca="1" si="26"/>
        <v>12648.106666666667</v>
      </c>
      <c r="O73" s="37">
        <f t="shared" ca="1" si="26"/>
        <v>15212.066666666666</v>
      </c>
      <c r="P73" s="37">
        <f t="shared" ca="1" si="26"/>
        <v>15327.906666666666</v>
      </c>
      <c r="Q73" s="37">
        <f t="shared" ca="1" si="26"/>
        <v>17211.639999999996</v>
      </c>
      <c r="R73" s="37">
        <f t="shared" ca="1" si="26"/>
        <v>20048.506666666668</v>
      </c>
      <c r="S73" s="37">
        <f t="shared" ca="1" si="26"/>
        <v>22526.306666666667</v>
      </c>
      <c r="T73" s="37">
        <f t="shared" ca="1" si="26"/>
        <v>25162.960000000003</v>
      </c>
      <c r="U73" s="37">
        <f t="shared" ca="1" si="26"/>
        <v>27393.813333333332</v>
      </c>
      <c r="V73" s="37">
        <f t="shared" ca="1" si="26"/>
        <v>30590.36</v>
      </c>
      <c r="W73" s="37">
        <f t="shared" ca="1" si="26"/>
        <v>33619.333333333336</v>
      </c>
      <c r="X73" s="37">
        <f t="shared" ca="1" si="26"/>
        <v>36288.346666666672</v>
      </c>
      <c r="Y73" s="37">
        <f t="shared" ca="1" si="26"/>
        <v>40145.373333333344</v>
      </c>
      <c r="Z73" s="37">
        <f t="shared" ca="1" si="26"/>
        <v>44031.306666666671</v>
      </c>
      <c r="AA73" s="37">
        <f t="shared" ca="1" si="26"/>
        <v>47813.279999999999</v>
      </c>
      <c r="AB73" s="37">
        <f t="shared" ca="1" si="26"/>
        <v>52207.093333333338</v>
      </c>
      <c r="AC73" s="37">
        <f t="shared" ca="1" si="26"/>
        <v>59452.840000000004</v>
      </c>
      <c r="AD73" s="37">
        <f t="shared" ca="1" si="26"/>
        <v>65671.293333333335</v>
      </c>
      <c r="AE73" s="37">
        <f t="shared" ca="1" si="26"/>
        <v>73229.266666666663</v>
      </c>
      <c r="AF73" s="37">
        <f t="shared" ca="1" si="26"/>
        <v>83842.146666666667</v>
      </c>
      <c r="AG73" s="37">
        <f t="shared" ca="1" si="26"/>
        <v>70315.999999999985</v>
      </c>
      <c r="AH73" s="37">
        <f t="shared" ca="1" si="26"/>
        <v>74656.266666666663</v>
      </c>
      <c r="AI73" s="37">
        <f t="shared" ca="1" si="26"/>
        <v>78827.299999999988</v>
      </c>
      <c r="AJ73" s="37">
        <f t="shared" ca="1" si="26"/>
        <v>82593.933333333349</v>
      </c>
      <c r="AK73" s="37">
        <f t="shared" ca="1" si="26"/>
        <v>87143.866666666669</v>
      </c>
      <c r="AL73" s="37">
        <f t="shared" ca="1" si="26"/>
        <v>92829.933333333349</v>
      </c>
      <c r="AM73" s="37">
        <f t="shared" ca="1" si="26"/>
        <v>97252.066666666666</v>
      </c>
      <c r="AN73" s="37">
        <f t="shared" ca="1" si="26"/>
        <v>101937.3</v>
      </c>
      <c r="AO73" s="37">
        <f t="shared" ref="AO73:BP73" ca="1" si="27">$H73*(SUM(AO45,AO63,AO58,AO66:AO72))</f>
        <v>108414.46666666666</v>
      </c>
      <c r="AP73" s="37">
        <f t="shared" ca="1" si="27"/>
        <v>113705.70000000001</v>
      </c>
      <c r="AQ73" s="37">
        <f t="shared" ca="1" si="27"/>
        <v>120263.56666666668</v>
      </c>
      <c r="AR73" s="37">
        <f t="shared" ca="1" si="27"/>
        <v>126870.90000000002</v>
      </c>
      <c r="AS73" s="37">
        <f t="shared" ca="1" si="27"/>
        <v>131654.20000000004</v>
      </c>
      <c r="AT73" s="37">
        <f t="shared" ca="1" si="27"/>
        <v>136834.00000000003</v>
      </c>
      <c r="AU73" s="37">
        <f t="shared" ca="1" si="27"/>
        <v>142526.80000000002</v>
      </c>
      <c r="AV73" s="37">
        <f t="shared" ca="1" si="27"/>
        <v>148783.30000000002</v>
      </c>
      <c r="AW73" s="37">
        <f t="shared" ca="1" si="27"/>
        <v>155659.00000000003</v>
      </c>
      <c r="AX73" s="37">
        <f t="shared" ca="1" si="27"/>
        <v>163215.40000000002</v>
      </c>
      <c r="AY73" s="37">
        <f t="shared" ca="1" si="27"/>
        <v>171520.00000000003</v>
      </c>
      <c r="AZ73" s="37">
        <f t="shared" ca="1" si="27"/>
        <v>180646.60000000003</v>
      </c>
      <c r="BA73" s="37">
        <f t="shared" ca="1" si="27"/>
        <v>190676.80000000005</v>
      </c>
      <c r="BB73" s="37">
        <f t="shared" ca="1" si="27"/>
        <v>201700.00000000003</v>
      </c>
      <c r="BC73" s="37">
        <f t="shared" ca="1" si="27"/>
        <v>213814.6</v>
      </c>
      <c r="BD73" s="37">
        <f t="shared" ca="1" si="27"/>
        <v>227128.30000000002</v>
      </c>
      <c r="BE73" s="37">
        <f t="shared" ca="1" si="27"/>
        <v>274316.24</v>
      </c>
      <c r="BF73" s="37">
        <f t="shared" ca="1" si="27"/>
        <v>293612.60000000003</v>
      </c>
      <c r="BG73" s="37">
        <f t="shared" ca="1" si="27"/>
        <v>314819.48</v>
      </c>
      <c r="BH73" s="37">
        <f t="shared" ca="1" si="27"/>
        <v>338125.88</v>
      </c>
      <c r="BI73" s="37">
        <f t="shared" ca="1" si="27"/>
        <v>363739.52</v>
      </c>
      <c r="BJ73" s="37">
        <f t="shared" ca="1" si="27"/>
        <v>391889</v>
      </c>
      <c r="BK73" s="37">
        <f t="shared" ca="1" si="27"/>
        <v>422825.24000000005</v>
      </c>
      <c r="BL73" s="37">
        <f t="shared" ca="1" si="27"/>
        <v>456824.36</v>
      </c>
      <c r="BM73" s="37">
        <f t="shared" ca="1" si="27"/>
        <v>494189.12000000005</v>
      </c>
      <c r="BN73" s="37">
        <f t="shared" ca="1" si="27"/>
        <v>535252.88</v>
      </c>
      <c r="BO73" s="37">
        <f t="shared" ca="1" si="27"/>
        <v>580382.12</v>
      </c>
      <c r="BP73" s="37">
        <f t="shared" ca="1" si="27"/>
        <v>629979.32000000007</v>
      </c>
    </row>
    <row r="74" spans="1:68" s="30" customFormat="1" ht="15" x14ac:dyDescent="0.25"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  <c r="AA74" s="37"/>
      <c r="AB74" s="37"/>
      <c r="AC74" s="37"/>
      <c r="AD74" s="37"/>
      <c r="AE74" s="37"/>
      <c r="AF74" s="37"/>
      <c r="AG74" s="37"/>
      <c r="AH74" s="37"/>
      <c r="AI74" s="37"/>
      <c r="AJ74" s="37"/>
      <c r="AK74" s="37"/>
      <c r="AL74" s="37"/>
      <c r="AM74" s="37"/>
      <c r="AN74" s="37"/>
      <c r="AO74" s="37"/>
      <c r="AP74" s="37"/>
      <c r="AQ74" s="37"/>
      <c r="AR74" s="37"/>
      <c r="AS74" s="37"/>
      <c r="AT74" s="37"/>
      <c r="AU74" s="37"/>
      <c r="AV74" s="37"/>
      <c r="AW74" s="37"/>
      <c r="AX74" s="37"/>
      <c r="AY74" s="37"/>
      <c r="AZ74" s="37"/>
      <c r="BA74" s="37"/>
      <c r="BB74" s="37"/>
      <c r="BC74" s="37"/>
      <c r="BD74" s="37"/>
      <c r="BE74" s="37"/>
      <c r="BF74" s="37"/>
      <c r="BG74" s="37"/>
      <c r="BH74" s="37"/>
      <c r="BI74" s="37"/>
      <c r="BJ74" s="37"/>
      <c r="BK74" s="37"/>
      <c r="BL74" s="37"/>
      <c r="BM74" s="37"/>
      <c r="BN74" s="37"/>
      <c r="BO74" s="37"/>
      <c r="BP74" s="37"/>
    </row>
    <row r="75" spans="1:68" s="30" customFormat="1" ht="15" x14ac:dyDescent="0.25">
      <c r="D75" s="31" t="s">
        <v>118</v>
      </c>
      <c r="I75" s="37">
        <f ca="1">SUM(I65:I74)</f>
        <v>3874.66</v>
      </c>
      <c r="J75" s="37">
        <f t="shared" ref="J75:BP75" ca="1" si="28">SUM(J65:J74)</f>
        <v>5139.18</v>
      </c>
      <c r="K75" s="37">
        <f t="shared" ca="1" si="28"/>
        <v>9788.8066666666673</v>
      </c>
      <c r="L75" s="37">
        <f t="shared" ca="1" si="28"/>
        <v>12221.200000000003</v>
      </c>
      <c r="M75" s="37">
        <f t="shared" ca="1" si="28"/>
        <v>13282.52</v>
      </c>
      <c r="N75" s="37">
        <f t="shared" ca="1" si="28"/>
        <v>16236.506666666666</v>
      </c>
      <c r="O75" s="37">
        <f t="shared" ca="1" si="28"/>
        <v>19306.066666666666</v>
      </c>
      <c r="P75" s="37">
        <f t="shared" ca="1" si="28"/>
        <v>19494.306666666664</v>
      </c>
      <c r="Q75" s="37">
        <f t="shared" ca="1" si="28"/>
        <v>21772.039999999994</v>
      </c>
      <c r="R75" s="37">
        <f t="shared" ca="1" si="28"/>
        <v>25180.906666666669</v>
      </c>
      <c r="S75" s="37">
        <f t="shared" ca="1" si="28"/>
        <v>28266.706666666665</v>
      </c>
      <c r="T75" s="37">
        <f t="shared" ca="1" si="28"/>
        <v>31558.560000000005</v>
      </c>
      <c r="U75" s="37">
        <f t="shared" ca="1" si="28"/>
        <v>35056.613333333335</v>
      </c>
      <c r="V75" s="37">
        <f t="shared" ca="1" si="28"/>
        <v>39049.96</v>
      </c>
      <c r="W75" s="37">
        <f t="shared" ca="1" si="28"/>
        <v>42979.333333333336</v>
      </c>
      <c r="X75" s="37">
        <f t="shared" ca="1" si="28"/>
        <v>46533.146666666667</v>
      </c>
      <c r="Y75" s="37">
        <f t="shared" ca="1" si="28"/>
        <v>51599.773333333345</v>
      </c>
      <c r="Z75" s="37">
        <f t="shared" ca="1" si="28"/>
        <v>56921.706666666672</v>
      </c>
      <c r="AA75" s="37">
        <f t="shared" ca="1" si="28"/>
        <v>62284.08</v>
      </c>
      <c r="AB75" s="37">
        <f t="shared" ca="1" si="28"/>
        <v>68640.693333333329</v>
      </c>
      <c r="AC75" s="37">
        <f t="shared" ca="1" si="28"/>
        <v>78795.240000000005</v>
      </c>
      <c r="AD75" s="37">
        <f t="shared" ca="1" si="28"/>
        <v>88116.893333333341</v>
      </c>
      <c r="AE75" s="37">
        <f t="shared" ca="1" si="28"/>
        <v>99615.266666666663</v>
      </c>
      <c r="AF75" s="37">
        <f t="shared" ca="1" si="28"/>
        <v>115554.94666666667</v>
      </c>
      <c r="AG75" s="37">
        <f t="shared" ca="1" si="28"/>
        <v>110700.99999999999</v>
      </c>
      <c r="AH75" s="37">
        <f t="shared" ca="1" si="28"/>
        <v>118272.26666666666</v>
      </c>
      <c r="AI75" s="37">
        <f t="shared" ca="1" si="28"/>
        <v>125947.79999999999</v>
      </c>
      <c r="AJ75" s="37">
        <f t="shared" ca="1" si="28"/>
        <v>133369.93333333335</v>
      </c>
      <c r="AK75" s="37">
        <f t="shared" ca="1" si="28"/>
        <v>142055.86666666667</v>
      </c>
      <c r="AL75" s="37">
        <f t="shared" ca="1" si="28"/>
        <v>152390.93333333335</v>
      </c>
      <c r="AM75" s="37">
        <f t="shared" ca="1" si="28"/>
        <v>161561.06666666665</v>
      </c>
      <c r="AN75" s="37">
        <f t="shared" ca="1" si="28"/>
        <v>171432.8</v>
      </c>
      <c r="AO75" s="37">
        <f t="shared" ca="1" si="28"/>
        <v>183877.46666666667</v>
      </c>
      <c r="AP75" s="37">
        <f t="shared" ca="1" si="28"/>
        <v>195365.2</v>
      </c>
      <c r="AQ75" s="37">
        <f t="shared" ca="1" si="28"/>
        <v>208850.06666666668</v>
      </c>
      <c r="AR75" s="37">
        <f t="shared" ca="1" si="28"/>
        <v>223022.40000000002</v>
      </c>
      <c r="AS75" s="37">
        <f t="shared" ca="1" si="28"/>
        <v>236361.20000000004</v>
      </c>
      <c r="AT75" s="37">
        <f t="shared" ca="1" si="28"/>
        <v>250174.00000000003</v>
      </c>
      <c r="AU75" s="37">
        <f t="shared" ca="1" si="28"/>
        <v>265354.80000000005</v>
      </c>
      <c r="AV75" s="37">
        <f t="shared" ca="1" si="28"/>
        <v>282038.80000000005</v>
      </c>
      <c r="AW75" s="37">
        <f t="shared" ca="1" si="28"/>
        <v>300374</v>
      </c>
      <c r="AX75" s="37">
        <f t="shared" ca="1" si="28"/>
        <v>320524.40000000002</v>
      </c>
      <c r="AY75" s="37">
        <f t="shared" ca="1" si="28"/>
        <v>342670</v>
      </c>
      <c r="AZ75" s="37">
        <f t="shared" ca="1" si="28"/>
        <v>367007.60000000003</v>
      </c>
      <c r="BA75" s="37">
        <f t="shared" ca="1" si="28"/>
        <v>393754.80000000005</v>
      </c>
      <c r="BB75" s="37">
        <f t="shared" ca="1" si="28"/>
        <v>423150</v>
      </c>
      <c r="BC75" s="37">
        <f t="shared" ca="1" si="28"/>
        <v>455455.6</v>
      </c>
      <c r="BD75" s="37">
        <f t="shared" ca="1" si="28"/>
        <v>490958.80000000005</v>
      </c>
      <c r="BE75" s="37">
        <f t="shared" ca="1" si="28"/>
        <v>617376.64</v>
      </c>
      <c r="BF75" s="37">
        <f t="shared" ca="1" si="28"/>
        <v>668833.60000000009</v>
      </c>
      <c r="BG75" s="37">
        <f t="shared" ca="1" si="28"/>
        <v>725385.28</v>
      </c>
      <c r="BH75" s="37">
        <f t="shared" ca="1" si="28"/>
        <v>787535.67999999993</v>
      </c>
      <c r="BI75" s="37">
        <f t="shared" ca="1" si="28"/>
        <v>855838.71999999997</v>
      </c>
      <c r="BJ75" s="37">
        <f t="shared" ca="1" si="28"/>
        <v>930904</v>
      </c>
      <c r="BK75" s="37">
        <f t="shared" ca="1" si="28"/>
        <v>1013400.6400000001</v>
      </c>
      <c r="BL75" s="37">
        <f t="shared" ca="1" si="28"/>
        <v>1104064.96</v>
      </c>
      <c r="BM75" s="37">
        <f t="shared" ca="1" si="28"/>
        <v>1203704.3200000001</v>
      </c>
      <c r="BN75" s="37">
        <f t="shared" ca="1" si="28"/>
        <v>1313207.6800000002</v>
      </c>
      <c r="BO75" s="37">
        <f t="shared" ca="1" si="28"/>
        <v>1433552.32</v>
      </c>
      <c r="BP75" s="37">
        <f t="shared" ca="1" si="28"/>
        <v>1565811.52</v>
      </c>
    </row>
    <row r="76" spans="1:68" s="30" customFormat="1" ht="15" x14ac:dyDescent="0.25"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  <c r="AF76" s="37"/>
      <c r="AG76" s="37"/>
      <c r="AH76" s="37"/>
      <c r="AI76" s="37"/>
      <c r="AJ76" s="37"/>
      <c r="AK76" s="37"/>
      <c r="AL76" s="37"/>
      <c r="AM76" s="37"/>
      <c r="AN76" s="37"/>
      <c r="AO76" s="37"/>
      <c r="AP76" s="37"/>
      <c r="AQ76" s="37"/>
      <c r="AR76" s="37"/>
      <c r="AS76" s="37"/>
      <c r="AT76" s="37"/>
      <c r="AU76" s="37"/>
      <c r="AV76" s="37"/>
      <c r="AW76" s="37"/>
      <c r="AX76" s="37"/>
      <c r="AY76" s="37"/>
      <c r="AZ76" s="37"/>
      <c r="BA76" s="37"/>
      <c r="BB76" s="37"/>
      <c r="BC76" s="37"/>
      <c r="BD76" s="37"/>
      <c r="BE76" s="37"/>
      <c r="BF76" s="37"/>
      <c r="BG76" s="37"/>
      <c r="BH76" s="37"/>
      <c r="BI76" s="37"/>
      <c r="BJ76" s="37"/>
      <c r="BK76" s="37"/>
      <c r="BL76" s="37"/>
      <c r="BM76" s="37"/>
      <c r="BN76" s="37"/>
      <c r="BO76" s="37"/>
      <c r="BP76" s="37"/>
    </row>
    <row r="77" spans="1:68" s="30" customFormat="1" ht="15" x14ac:dyDescent="0.25">
      <c r="A77" s="31"/>
      <c r="B77" s="31"/>
      <c r="C77" s="31" t="s">
        <v>119</v>
      </c>
      <c r="I77" s="53">
        <f ca="1">SUMIFS(I52:I76,$D52:$D76,"&gt;""""")</f>
        <v>19174.66</v>
      </c>
      <c r="J77" s="53">
        <f t="shared" ref="J77:BP77" ca="1" si="29">SUMIFS(J52:J76,$D52:$D76,"&gt;""""")</f>
        <v>21039.18</v>
      </c>
      <c r="K77" s="53">
        <f t="shared" ca="1" si="29"/>
        <v>36255.473333333335</v>
      </c>
      <c r="L77" s="53">
        <f t="shared" ca="1" si="29"/>
        <v>42387.866666666669</v>
      </c>
      <c r="M77" s="53">
        <f t="shared" ca="1" si="29"/>
        <v>44049.186666666668</v>
      </c>
      <c r="N77" s="53">
        <f t="shared" ca="1" si="29"/>
        <v>53803.17333333334</v>
      </c>
      <c r="O77" s="53">
        <f t="shared" ca="1" si="29"/>
        <v>58672.733333333337</v>
      </c>
      <c r="P77" s="53">
        <f t="shared" ca="1" si="29"/>
        <v>58860.973333333335</v>
      </c>
      <c r="Q77" s="53">
        <f t="shared" ca="1" si="29"/>
        <v>62338.706666666665</v>
      </c>
      <c r="R77" s="53">
        <f t="shared" ca="1" si="29"/>
        <v>67547.573333333334</v>
      </c>
      <c r="S77" s="53">
        <f t="shared" ca="1" si="29"/>
        <v>77433.373333333322</v>
      </c>
      <c r="T77" s="53">
        <f t="shared" ca="1" si="29"/>
        <v>87525.226666666669</v>
      </c>
      <c r="U77" s="53">
        <f t="shared" ca="1" si="29"/>
        <v>92223.28</v>
      </c>
      <c r="V77" s="53">
        <f t="shared" ca="1" si="29"/>
        <v>98016.626666666663</v>
      </c>
      <c r="W77" s="53">
        <f t="shared" ca="1" si="29"/>
        <v>108746</v>
      </c>
      <c r="X77" s="53">
        <f t="shared" ca="1" si="29"/>
        <v>113499.81333333332</v>
      </c>
      <c r="Y77" s="53">
        <f t="shared" ca="1" si="29"/>
        <v>120366.44</v>
      </c>
      <c r="Z77" s="53">
        <f t="shared" ca="1" si="29"/>
        <v>132488.37333333332</v>
      </c>
      <c r="AA77" s="53">
        <f t="shared" ca="1" si="29"/>
        <v>139050.74666666664</v>
      </c>
      <c r="AB77" s="53">
        <f t="shared" ca="1" si="29"/>
        <v>146607.35999999999</v>
      </c>
      <c r="AC77" s="53">
        <f t="shared" ca="1" si="29"/>
        <v>169761.90666666668</v>
      </c>
      <c r="AD77" s="53">
        <f t="shared" ca="1" si="29"/>
        <v>180283.56</v>
      </c>
      <c r="AE77" s="53">
        <f t="shared" ca="1" si="29"/>
        <v>192981.93333333332</v>
      </c>
      <c r="AF77" s="53">
        <f t="shared" ca="1" si="29"/>
        <v>216321.61333333334</v>
      </c>
      <c r="AG77" s="53">
        <f t="shared" ca="1" si="29"/>
        <v>218967.66666666663</v>
      </c>
      <c r="AH77" s="53">
        <f t="shared" ca="1" si="29"/>
        <v>228638.93333333332</v>
      </c>
      <c r="AI77" s="53">
        <f t="shared" ca="1" si="29"/>
        <v>243414.46666666667</v>
      </c>
      <c r="AJ77" s="53">
        <f t="shared" ca="1" si="29"/>
        <v>252236.60000000003</v>
      </c>
      <c r="AK77" s="53">
        <f t="shared" ca="1" si="29"/>
        <v>268022.53333333333</v>
      </c>
      <c r="AL77" s="53">
        <f t="shared" ca="1" si="29"/>
        <v>286157.60000000003</v>
      </c>
      <c r="AM77" s="53">
        <f t="shared" ca="1" si="29"/>
        <v>296727.73333333334</v>
      </c>
      <c r="AN77" s="53">
        <f t="shared" ca="1" si="29"/>
        <v>307999.46666666667</v>
      </c>
      <c r="AO77" s="53">
        <f t="shared" ca="1" si="29"/>
        <v>328244.13333333336</v>
      </c>
      <c r="AP77" s="53">
        <f t="shared" ca="1" si="29"/>
        <v>341131.8666666667</v>
      </c>
      <c r="AQ77" s="53">
        <f t="shared" ca="1" si="29"/>
        <v>356716.7333333334</v>
      </c>
      <c r="AR77" s="53">
        <f t="shared" ca="1" si="29"/>
        <v>377989.06666666671</v>
      </c>
      <c r="AS77" s="53">
        <f t="shared" ca="1" si="29"/>
        <v>391327.8666666667</v>
      </c>
      <c r="AT77" s="53">
        <f t="shared" ca="1" si="29"/>
        <v>405140.66666666674</v>
      </c>
      <c r="AU77" s="53">
        <f t="shared" ca="1" si="29"/>
        <v>420321.46666666673</v>
      </c>
      <c r="AV77" s="53">
        <f t="shared" ca="1" si="29"/>
        <v>437005.46666666673</v>
      </c>
      <c r="AW77" s="53">
        <f t="shared" ca="1" si="29"/>
        <v>455340.66666666669</v>
      </c>
      <c r="AX77" s="53">
        <f t="shared" ca="1" si="29"/>
        <v>475491.06666666671</v>
      </c>
      <c r="AY77" s="53">
        <f t="shared" ca="1" si="29"/>
        <v>497636.66666666669</v>
      </c>
      <c r="AZ77" s="53">
        <f t="shared" ca="1" si="29"/>
        <v>521974.26666666672</v>
      </c>
      <c r="BA77" s="53">
        <f t="shared" ca="1" si="29"/>
        <v>548721.46666666679</v>
      </c>
      <c r="BB77" s="53">
        <f t="shared" ca="1" si="29"/>
        <v>578116.66666666674</v>
      </c>
      <c r="BC77" s="53">
        <f t="shared" ca="1" si="29"/>
        <v>610422.2666666666</v>
      </c>
      <c r="BD77" s="53">
        <f t="shared" ca="1" si="29"/>
        <v>645925.46666666679</v>
      </c>
      <c r="BE77" s="53">
        <f t="shared" ca="1" si="29"/>
        <v>772343.30666666664</v>
      </c>
      <c r="BF77" s="53">
        <f t="shared" ca="1" si="29"/>
        <v>823800.26666666684</v>
      </c>
      <c r="BG77" s="53">
        <f t="shared" ca="1" si="29"/>
        <v>880351.94666666677</v>
      </c>
      <c r="BH77" s="53">
        <f t="shared" ca="1" si="29"/>
        <v>942502.34666666668</v>
      </c>
      <c r="BI77" s="53">
        <f t="shared" ca="1" si="29"/>
        <v>1010805.3866666667</v>
      </c>
      <c r="BJ77" s="53">
        <f t="shared" ca="1" si="29"/>
        <v>1085870.6666666667</v>
      </c>
      <c r="BK77" s="53">
        <f t="shared" ca="1" si="29"/>
        <v>1168367.3066666669</v>
      </c>
      <c r="BL77" s="53">
        <f t="shared" ca="1" si="29"/>
        <v>1259031.6266666667</v>
      </c>
      <c r="BM77" s="53">
        <f t="shared" ca="1" si="29"/>
        <v>1358670.9866666668</v>
      </c>
      <c r="BN77" s="53">
        <f t="shared" ca="1" si="29"/>
        <v>1468174.3466666669</v>
      </c>
      <c r="BO77" s="53">
        <f t="shared" ca="1" si="29"/>
        <v>1588518.9866666668</v>
      </c>
      <c r="BP77" s="53">
        <f t="shared" ca="1" si="29"/>
        <v>1720778.1866666668</v>
      </c>
    </row>
    <row r="78" spans="1:68" s="30" customFormat="1" ht="15" x14ac:dyDescent="0.25">
      <c r="I78" s="37"/>
    </row>
    <row r="79" spans="1:68" s="30" customFormat="1" ht="15.75" thickBot="1" x14ac:dyDescent="0.3">
      <c r="A79" s="43"/>
      <c r="B79" s="43"/>
      <c r="C79" s="43" t="s">
        <v>120</v>
      </c>
      <c r="D79" s="43"/>
      <c r="E79" s="43"/>
      <c r="F79" s="43"/>
      <c r="G79" s="43"/>
      <c r="H79" s="43"/>
      <c r="I79" s="44">
        <f t="shared" ref="I79:AN79" ca="1" si="30">I47-I77</f>
        <v>-22368.66</v>
      </c>
      <c r="J79" s="44">
        <f t="shared" ca="1" si="30"/>
        <v>-33701.18</v>
      </c>
      <c r="K79" s="44">
        <f t="shared" ca="1" si="30"/>
        <v>-75731.473333333328</v>
      </c>
      <c r="L79" s="44">
        <f t="shared" ca="1" si="30"/>
        <v>-96801.200000000012</v>
      </c>
      <c r="M79" s="44">
        <f t="shared" ca="1" si="30"/>
        <v>-104800.51999999999</v>
      </c>
      <c r="N79" s="44">
        <f t="shared" ca="1" si="30"/>
        <v>-129709.17333333334</v>
      </c>
      <c r="O79" s="44">
        <f t="shared" ca="1" si="30"/>
        <v>-155132.73333333334</v>
      </c>
      <c r="P79" s="44">
        <f t="shared" ca="1" si="30"/>
        <v>-152786.97333333333</v>
      </c>
      <c r="Q79" s="44">
        <f t="shared" ca="1" si="30"/>
        <v>-168808.03999999998</v>
      </c>
      <c r="R79" s="44">
        <f t="shared" ca="1" si="30"/>
        <v>-193913.57333333333</v>
      </c>
      <c r="S79" s="44">
        <f t="shared" ca="1" si="30"/>
        <v>-213269.37333333332</v>
      </c>
      <c r="T79" s="44">
        <f t="shared" ca="1" si="30"/>
        <v>-232012.56</v>
      </c>
      <c r="U79" s="44">
        <f t="shared" ca="1" si="30"/>
        <v>-243191.94666666666</v>
      </c>
      <c r="V79" s="44">
        <f t="shared" ca="1" si="30"/>
        <v>-261013.96000000002</v>
      </c>
      <c r="W79" s="44">
        <f t="shared" ca="1" si="30"/>
        <v>-271812.66666666663</v>
      </c>
      <c r="X79" s="44">
        <f t="shared" ca="1" si="30"/>
        <v>-271931.81333333335</v>
      </c>
      <c r="Y79" s="44">
        <f t="shared" ca="1" si="30"/>
        <v>-276379.10666666669</v>
      </c>
      <c r="Z79" s="44">
        <f t="shared" ca="1" si="30"/>
        <v>-269824.37333333329</v>
      </c>
      <c r="AA79" s="44">
        <f t="shared" ca="1" si="30"/>
        <v>-247406.07999999996</v>
      </c>
      <c r="AB79" s="44">
        <f t="shared" ca="1" si="30"/>
        <v>-212598.02666666667</v>
      </c>
      <c r="AC79" s="44">
        <f t="shared" ca="1" si="30"/>
        <v>-184361.24</v>
      </c>
      <c r="AD79" s="44">
        <f t="shared" ca="1" si="30"/>
        <v>-112604.22666666674</v>
      </c>
      <c r="AE79" s="44">
        <f t="shared" ca="1" si="30"/>
        <v>-13721.93333333332</v>
      </c>
      <c r="AF79" s="44">
        <f t="shared" ca="1" si="30"/>
        <v>105876.38666666666</v>
      </c>
      <c r="AG79" s="44">
        <f t="shared" ca="1" si="30"/>
        <v>638274.00000000012</v>
      </c>
      <c r="AH79" s="44">
        <f t="shared" ca="1" si="30"/>
        <v>729581.06666666665</v>
      </c>
      <c r="AI79" s="44">
        <f t="shared" ca="1" si="30"/>
        <v>836424.70000000007</v>
      </c>
      <c r="AJ79" s="44">
        <f t="shared" ca="1" si="30"/>
        <v>962766.73333333316</v>
      </c>
      <c r="AK79" s="44">
        <f t="shared" ca="1" si="30"/>
        <v>1097017.4666666668</v>
      </c>
      <c r="AL79" s="44">
        <f t="shared" ca="1" si="30"/>
        <v>1236920.7333333332</v>
      </c>
      <c r="AM79" s="44">
        <f t="shared" ca="1" si="30"/>
        <v>1410677.2666666666</v>
      </c>
      <c r="AN79" s="44">
        <f t="shared" ca="1" si="30"/>
        <v>1603464.6999999997</v>
      </c>
      <c r="AO79" s="44">
        <f t="shared" ref="AO79:BP79" ca="1" si="31">AO47-AO77</f>
        <v>1800590.8666666667</v>
      </c>
      <c r="AP79" s="44">
        <f t="shared" ca="1" si="31"/>
        <v>2037212.2999999998</v>
      </c>
      <c r="AQ79" s="44">
        <f t="shared" ca="1" si="31"/>
        <v>2288925.7666666666</v>
      </c>
      <c r="AR79" s="44">
        <f t="shared" ca="1" si="31"/>
        <v>2571995.0999999996</v>
      </c>
      <c r="AS79" s="44">
        <f t="shared" ca="1" si="31"/>
        <v>2912153.8</v>
      </c>
      <c r="AT79" s="44">
        <f t="shared" ca="1" si="31"/>
        <v>3286826</v>
      </c>
      <c r="AU79" s="44">
        <f t="shared" ca="1" si="31"/>
        <v>3698605.1999999997</v>
      </c>
      <c r="AV79" s="44">
        <f t="shared" ca="1" si="31"/>
        <v>4151158.6999999993</v>
      </c>
      <c r="AW79" s="44">
        <f t="shared" ca="1" si="31"/>
        <v>4648500.9999999991</v>
      </c>
      <c r="AX79" s="44">
        <f t="shared" ca="1" si="31"/>
        <v>5195080.5999999996</v>
      </c>
      <c r="AY79" s="44">
        <f t="shared" ca="1" si="31"/>
        <v>5795779.9999999991</v>
      </c>
      <c r="AZ79" s="44">
        <f t="shared" ca="1" si="31"/>
        <v>6455937.3999999994</v>
      </c>
      <c r="BA79" s="44">
        <f t="shared" ca="1" si="31"/>
        <v>7181455.1999999993</v>
      </c>
      <c r="BB79" s="44">
        <f t="shared" ca="1" si="31"/>
        <v>7978799.9999999991</v>
      </c>
      <c r="BC79" s="44">
        <f t="shared" ca="1" si="31"/>
        <v>8855089.3999999985</v>
      </c>
      <c r="BD79" s="44">
        <f t="shared" ca="1" si="31"/>
        <v>9818113.6999999993</v>
      </c>
      <c r="BE79" s="44">
        <f t="shared" ca="1" si="31"/>
        <v>13225541.359999999</v>
      </c>
      <c r="BF79" s="44">
        <f t="shared" ca="1" si="31"/>
        <v>14621311.399999999</v>
      </c>
      <c r="BG79" s="44">
        <f t="shared" ca="1" si="31"/>
        <v>16155275.720000001</v>
      </c>
      <c r="BH79" s="44">
        <f t="shared" ca="1" si="31"/>
        <v>17841105.32</v>
      </c>
      <c r="BI79" s="44">
        <f t="shared" ca="1" si="31"/>
        <v>19693825.280000001</v>
      </c>
      <c r="BJ79" s="44">
        <f t="shared" ca="1" si="31"/>
        <v>21729971</v>
      </c>
      <c r="BK79" s="44">
        <f t="shared" ca="1" si="31"/>
        <v>23967692.359999999</v>
      </c>
      <c r="BL79" s="44">
        <f t="shared" ca="1" si="31"/>
        <v>26426962.040000003</v>
      </c>
      <c r="BM79" s="44">
        <f t="shared" ca="1" si="31"/>
        <v>29129679.68</v>
      </c>
      <c r="BN79" s="44">
        <f t="shared" ca="1" si="31"/>
        <v>32099958.319999997</v>
      </c>
      <c r="BO79" s="44">
        <f t="shared" ca="1" si="31"/>
        <v>35364306.68</v>
      </c>
      <c r="BP79" s="44">
        <f t="shared" ca="1" si="31"/>
        <v>38951837.479999997</v>
      </c>
    </row>
    <row r="80" spans="1:68" s="30" customFormat="1" ht="15.75" thickTop="1" x14ac:dyDescent="0.25">
      <c r="I80" s="37"/>
    </row>
    <row r="81" spans="1:68" s="30" customFormat="1" ht="15" x14ac:dyDescent="0.25">
      <c r="D81" s="30" t="s">
        <v>121</v>
      </c>
      <c r="I81" s="37">
        <f ca="1">I151</f>
        <v>141.66666666666666</v>
      </c>
      <c r="J81" s="37">
        <f t="shared" ref="J81:BP81" ca="1" si="32">J151</f>
        <v>225</v>
      </c>
      <c r="K81" s="37">
        <f t="shared" ca="1" si="32"/>
        <v>625</v>
      </c>
      <c r="L81" s="37">
        <f t="shared" ca="1" si="32"/>
        <v>833.33333333333337</v>
      </c>
      <c r="M81" s="37">
        <f t="shared" ca="1" si="32"/>
        <v>916.66666666666674</v>
      </c>
      <c r="N81" s="37">
        <f t="shared" ca="1" si="32"/>
        <v>1166.6666666666667</v>
      </c>
      <c r="O81" s="37">
        <f t="shared" ca="1" si="32"/>
        <v>1416.6666666666667</v>
      </c>
      <c r="P81" s="37">
        <f t="shared" ca="1" si="32"/>
        <v>1416.6666666666667</v>
      </c>
      <c r="Q81" s="37">
        <f t="shared" ca="1" si="32"/>
        <v>1583.3333333333335</v>
      </c>
      <c r="R81" s="37">
        <f t="shared" ca="1" si="32"/>
        <v>1833.3333333333335</v>
      </c>
      <c r="S81" s="37">
        <f t="shared" ca="1" si="32"/>
        <v>2083.3333333333335</v>
      </c>
      <c r="T81" s="37">
        <f t="shared" ca="1" si="32"/>
        <v>2333.3333333333335</v>
      </c>
      <c r="U81" s="37">
        <f t="shared" ca="1" si="32"/>
        <v>2500</v>
      </c>
      <c r="V81" s="37">
        <f t="shared" ca="1" si="32"/>
        <v>2750</v>
      </c>
      <c r="W81" s="37">
        <f t="shared" ca="1" si="32"/>
        <v>3000</v>
      </c>
      <c r="X81" s="37">
        <f t="shared" ca="1" si="32"/>
        <v>3166.6666666666665</v>
      </c>
      <c r="Y81" s="37">
        <f t="shared" ca="1" si="32"/>
        <v>3416.6666666666665</v>
      </c>
      <c r="Z81" s="37">
        <f t="shared" ca="1" si="32"/>
        <v>3666.6666666666665</v>
      </c>
      <c r="AA81" s="37">
        <f t="shared" ca="1" si="32"/>
        <v>3833.333333333333</v>
      </c>
      <c r="AB81" s="37">
        <f t="shared" ca="1" si="32"/>
        <v>3999.9999999999995</v>
      </c>
      <c r="AC81" s="37">
        <f t="shared" ca="1" si="32"/>
        <v>4416.6666666666661</v>
      </c>
      <c r="AD81" s="37">
        <f t="shared" ca="1" si="32"/>
        <v>4583.333333333333</v>
      </c>
      <c r="AE81" s="37">
        <f t="shared" ca="1" si="32"/>
        <v>4750</v>
      </c>
      <c r="AF81" s="37">
        <f t="shared" ca="1" si="32"/>
        <v>5083.333333333333</v>
      </c>
      <c r="AG81" s="37">
        <f t="shared" ca="1" si="32"/>
        <v>5108.333333333333</v>
      </c>
      <c r="AH81" s="37">
        <f t="shared" ca="1" si="32"/>
        <v>5275</v>
      </c>
      <c r="AI81" s="37">
        <f t="shared" ca="1" si="32"/>
        <v>5125</v>
      </c>
      <c r="AJ81" s="37">
        <f t="shared" ca="1" si="32"/>
        <v>5083.3333333333339</v>
      </c>
      <c r="AK81" s="37">
        <f t="shared" ca="1" si="32"/>
        <v>5250.0000000000009</v>
      </c>
      <c r="AL81" s="37">
        <f t="shared" ca="1" si="32"/>
        <v>5333.3333333333339</v>
      </c>
      <c r="AM81" s="37">
        <f t="shared" ca="1" si="32"/>
        <v>5250.0000000000009</v>
      </c>
      <c r="AN81" s="37">
        <f t="shared" ca="1" si="32"/>
        <v>5416.6666666666679</v>
      </c>
      <c r="AO81" s="37">
        <f t="shared" ca="1" si="32"/>
        <v>5583.3333333333339</v>
      </c>
      <c r="AP81" s="37">
        <f t="shared" ca="1" si="32"/>
        <v>5500.0000000000009</v>
      </c>
      <c r="AQ81" s="37">
        <f t="shared" ca="1" si="32"/>
        <v>5500.0000000000009</v>
      </c>
      <c r="AR81" s="37">
        <f t="shared" ca="1" si="32"/>
        <v>5500.0000000000009</v>
      </c>
      <c r="AS81" s="37">
        <f t="shared" ca="1" si="32"/>
        <v>5333.3333333333339</v>
      </c>
      <c r="AT81" s="37">
        <f t="shared" ca="1" si="32"/>
        <v>5083.3333333333339</v>
      </c>
      <c r="AU81" s="37">
        <f t="shared" ca="1" si="32"/>
        <v>4833.3333333333339</v>
      </c>
      <c r="AV81" s="37">
        <f t="shared" ca="1" si="32"/>
        <v>4666.666666666667</v>
      </c>
      <c r="AW81" s="37">
        <f t="shared" ca="1" si="32"/>
        <v>4416.666666666667</v>
      </c>
      <c r="AX81" s="37">
        <f t="shared" ca="1" si="32"/>
        <v>4166.666666666667</v>
      </c>
      <c r="AY81" s="37">
        <f t="shared" ca="1" si="32"/>
        <v>4000.0000000000005</v>
      </c>
      <c r="AZ81" s="37">
        <f t="shared" ca="1" si="32"/>
        <v>3833.3333333333339</v>
      </c>
      <c r="BA81" s="37">
        <f t="shared" ca="1" si="32"/>
        <v>3416.6666666666674</v>
      </c>
      <c r="BB81" s="37">
        <f t="shared" ca="1" si="32"/>
        <v>3250.0000000000009</v>
      </c>
      <c r="BC81" s="37">
        <f t="shared" ca="1" si="32"/>
        <v>3083.3333333333344</v>
      </c>
      <c r="BD81" s="37">
        <f t="shared" ca="1" si="32"/>
        <v>2750.0000000000009</v>
      </c>
      <c r="BE81" s="37">
        <f t="shared" ca="1" si="32"/>
        <v>2583.3333333333344</v>
      </c>
      <c r="BF81" s="37">
        <f t="shared" ca="1" si="32"/>
        <v>2333.3333333333344</v>
      </c>
      <c r="BG81" s="37">
        <f t="shared" ca="1" si="32"/>
        <v>2083.3333333333344</v>
      </c>
      <c r="BH81" s="37">
        <f t="shared" ca="1" si="32"/>
        <v>1916.6666666666677</v>
      </c>
      <c r="BI81" s="37">
        <f t="shared" ca="1" si="32"/>
        <v>1666.6666666666677</v>
      </c>
      <c r="BJ81" s="37">
        <f t="shared" ca="1" si="32"/>
        <v>1333.3333333333344</v>
      </c>
      <c r="BK81" s="37">
        <f t="shared" ca="1" si="32"/>
        <v>1166.6666666666677</v>
      </c>
      <c r="BL81" s="37">
        <f t="shared" ca="1" si="32"/>
        <v>1000.000000000001</v>
      </c>
      <c r="BM81" s="37">
        <f t="shared" ca="1" si="32"/>
        <v>666.66666666666765</v>
      </c>
      <c r="BN81" s="37">
        <f t="shared" ca="1" si="32"/>
        <v>500.00000000000102</v>
      </c>
      <c r="BO81" s="37">
        <f t="shared" ca="1" si="32"/>
        <v>250.00000000000102</v>
      </c>
      <c r="BP81" s="37">
        <f t="shared" ca="1" si="32"/>
        <v>1.0231815394945443E-12</v>
      </c>
    </row>
    <row r="82" spans="1:68" s="30" customFormat="1" ht="15" x14ac:dyDescent="0.25">
      <c r="I82" s="37"/>
    </row>
    <row r="83" spans="1:68" s="30" customFormat="1" ht="15" x14ac:dyDescent="0.25">
      <c r="A83" s="31"/>
      <c r="B83" s="31"/>
      <c r="C83" s="31" t="s">
        <v>122</v>
      </c>
      <c r="I83" s="37">
        <f ca="1">I79-I81</f>
        <v>-22510.326666666668</v>
      </c>
      <c r="J83" s="37">
        <f t="shared" ref="J83:BP83" ca="1" si="33">J79-J81</f>
        <v>-33926.18</v>
      </c>
      <c r="K83" s="37">
        <f t="shared" ca="1" si="33"/>
        <v>-76356.473333333328</v>
      </c>
      <c r="L83" s="37">
        <f t="shared" ca="1" si="33"/>
        <v>-97634.53333333334</v>
      </c>
      <c r="M83" s="37">
        <f t="shared" ca="1" si="33"/>
        <v>-105717.18666666666</v>
      </c>
      <c r="N83" s="37">
        <f t="shared" ca="1" si="33"/>
        <v>-130875.84000000001</v>
      </c>
      <c r="O83" s="37">
        <f t="shared" ca="1" si="33"/>
        <v>-156549.4</v>
      </c>
      <c r="P83" s="37">
        <f t="shared" ca="1" si="33"/>
        <v>-154203.63999999998</v>
      </c>
      <c r="Q83" s="37">
        <f t="shared" ca="1" si="33"/>
        <v>-170391.37333333332</v>
      </c>
      <c r="R83" s="37">
        <f t="shared" ca="1" si="33"/>
        <v>-195746.90666666668</v>
      </c>
      <c r="S83" s="37">
        <f t="shared" ca="1" si="33"/>
        <v>-215352.70666666667</v>
      </c>
      <c r="T83" s="37">
        <f t="shared" ca="1" si="33"/>
        <v>-234345.89333333334</v>
      </c>
      <c r="U83" s="37">
        <f t="shared" ca="1" si="33"/>
        <v>-245691.94666666666</v>
      </c>
      <c r="V83" s="37">
        <f t="shared" ca="1" si="33"/>
        <v>-263763.96000000002</v>
      </c>
      <c r="W83" s="37">
        <f t="shared" ca="1" si="33"/>
        <v>-274812.66666666663</v>
      </c>
      <c r="X83" s="37">
        <f t="shared" ca="1" si="33"/>
        <v>-275098.48000000004</v>
      </c>
      <c r="Y83" s="37">
        <f t="shared" ca="1" si="33"/>
        <v>-279795.77333333337</v>
      </c>
      <c r="Z83" s="37">
        <f t="shared" ca="1" si="33"/>
        <v>-273491.03999999998</v>
      </c>
      <c r="AA83" s="37">
        <f t="shared" ca="1" si="33"/>
        <v>-251239.4133333333</v>
      </c>
      <c r="AB83" s="37">
        <f t="shared" ca="1" si="33"/>
        <v>-216598.02666666667</v>
      </c>
      <c r="AC83" s="37">
        <f t="shared" ca="1" si="33"/>
        <v>-188777.90666666665</v>
      </c>
      <c r="AD83" s="37">
        <f t="shared" ca="1" si="33"/>
        <v>-117187.56000000007</v>
      </c>
      <c r="AE83" s="37">
        <f t="shared" ca="1" si="33"/>
        <v>-18471.93333333332</v>
      </c>
      <c r="AF83" s="37">
        <f t="shared" ca="1" si="33"/>
        <v>100793.05333333333</v>
      </c>
      <c r="AG83" s="37">
        <f t="shared" ca="1" si="33"/>
        <v>633165.66666666674</v>
      </c>
      <c r="AH83" s="37">
        <f t="shared" ca="1" si="33"/>
        <v>724306.06666666665</v>
      </c>
      <c r="AI83" s="37">
        <f t="shared" ca="1" si="33"/>
        <v>831299.70000000007</v>
      </c>
      <c r="AJ83" s="37">
        <f t="shared" ca="1" si="33"/>
        <v>957683.39999999979</v>
      </c>
      <c r="AK83" s="37">
        <f t="shared" ca="1" si="33"/>
        <v>1091767.4666666668</v>
      </c>
      <c r="AL83" s="37">
        <f t="shared" ca="1" si="33"/>
        <v>1231587.3999999999</v>
      </c>
      <c r="AM83" s="37">
        <f t="shared" ca="1" si="33"/>
        <v>1405427.2666666666</v>
      </c>
      <c r="AN83" s="37">
        <f t="shared" ca="1" si="33"/>
        <v>1598048.033333333</v>
      </c>
      <c r="AO83" s="37">
        <f t="shared" ca="1" si="33"/>
        <v>1795007.5333333334</v>
      </c>
      <c r="AP83" s="37">
        <f t="shared" ca="1" si="33"/>
        <v>2031712.2999999998</v>
      </c>
      <c r="AQ83" s="37">
        <f t="shared" ca="1" si="33"/>
        <v>2283425.7666666666</v>
      </c>
      <c r="AR83" s="37">
        <f t="shared" ca="1" si="33"/>
        <v>2566495.0999999996</v>
      </c>
      <c r="AS83" s="37">
        <f t="shared" ca="1" si="33"/>
        <v>2906820.4666666663</v>
      </c>
      <c r="AT83" s="37">
        <f t="shared" ca="1" si="33"/>
        <v>3281742.6666666665</v>
      </c>
      <c r="AU83" s="37">
        <f t="shared" ca="1" si="33"/>
        <v>3693771.8666666662</v>
      </c>
      <c r="AV83" s="37">
        <f t="shared" ca="1" si="33"/>
        <v>4146492.0333333327</v>
      </c>
      <c r="AW83" s="37">
        <f t="shared" ca="1" si="33"/>
        <v>4644084.3333333321</v>
      </c>
      <c r="AX83" s="37">
        <f t="shared" ca="1" si="33"/>
        <v>5190913.9333333327</v>
      </c>
      <c r="AY83" s="37">
        <f t="shared" ca="1" si="33"/>
        <v>5791779.9999999991</v>
      </c>
      <c r="AZ83" s="37">
        <f t="shared" ca="1" si="33"/>
        <v>6452104.0666666664</v>
      </c>
      <c r="BA83" s="37">
        <f t="shared" ca="1" si="33"/>
        <v>7178038.5333333323</v>
      </c>
      <c r="BB83" s="37">
        <f t="shared" ca="1" si="33"/>
        <v>7975549.9999999991</v>
      </c>
      <c r="BC83" s="37">
        <f t="shared" ca="1" si="33"/>
        <v>8852006.0666666646</v>
      </c>
      <c r="BD83" s="37">
        <f t="shared" ca="1" si="33"/>
        <v>9815363.6999999993</v>
      </c>
      <c r="BE83" s="37">
        <f t="shared" ca="1" si="33"/>
        <v>13222958.026666665</v>
      </c>
      <c r="BF83" s="37">
        <f t="shared" ca="1" si="33"/>
        <v>14618978.066666665</v>
      </c>
      <c r="BG83" s="37">
        <f t="shared" ca="1" si="33"/>
        <v>16153192.386666667</v>
      </c>
      <c r="BH83" s="37">
        <f t="shared" ca="1" si="33"/>
        <v>17839188.653333332</v>
      </c>
      <c r="BI83" s="37">
        <f t="shared" ca="1" si="33"/>
        <v>19692158.613333333</v>
      </c>
      <c r="BJ83" s="37">
        <f t="shared" ca="1" si="33"/>
        <v>21728637.666666668</v>
      </c>
      <c r="BK83" s="37">
        <f t="shared" ca="1" si="33"/>
        <v>23966525.693333331</v>
      </c>
      <c r="BL83" s="37">
        <f t="shared" ca="1" si="33"/>
        <v>26425962.040000003</v>
      </c>
      <c r="BM83" s="37">
        <f t="shared" ca="1" si="33"/>
        <v>29129013.013333332</v>
      </c>
      <c r="BN83" s="37">
        <f t="shared" ca="1" si="33"/>
        <v>32099458.319999997</v>
      </c>
      <c r="BO83" s="37">
        <f t="shared" ca="1" si="33"/>
        <v>35364056.68</v>
      </c>
      <c r="BP83" s="37">
        <f t="shared" ca="1" si="33"/>
        <v>38951837.479999997</v>
      </c>
    </row>
    <row r="84" spans="1:68" s="30" customFormat="1" ht="15" x14ac:dyDescent="0.25">
      <c r="A84" s="31"/>
      <c r="B84" s="31"/>
      <c r="C84" s="31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  <c r="AF84" s="37"/>
      <c r="AG84" s="37"/>
      <c r="AH84" s="37"/>
      <c r="AI84" s="37"/>
      <c r="AJ84" s="37"/>
      <c r="AK84" s="37"/>
      <c r="AL84" s="37"/>
      <c r="AM84" s="37"/>
      <c r="AN84" s="37"/>
      <c r="AO84" s="37"/>
      <c r="AP84" s="37"/>
      <c r="AQ84" s="37"/>
      <c r="AR84" s="37"/>
      <c r="AS84" s="37"/>
      <c r="AT84" s="37"/>
      <c r="AU84" s="37"/>
      <c r="AV84" s="37"/>
      <c r="AW84" s="37"/>
      <c r="AX84" s="37"/>
      <c r="AY84" s="37"/>
      <c r="AZ84" s="37"/>
      <c r="BA84" s="37"/>
      <c r="BB84" s="37"/>
      <c r="BC84" s="37"/>
      <c r="BD84" s="37"/>
      <c r="BE84" s="37"/>
      <c r="BF84" s="37"/>
      <c r="BG84" s="37"/>
      <c r="BH84" s="37"/>
      <c r="BI84" s="37"/>
      <c r="BJ84" s="37"/>
      <c r="BK84" s="37"/>
      <c r="BL84" s="37"/>
      <c r="BM84" s="37"/>
      <c r="BN84" s="37"/>
      <c r="BO84" s="37"/>
      <c r="BP84" s="37"/>
    </row>
    <row r="85" spans="1:68" s="30" customFormat="1" ht="15" x14ac:dyDescent="0.25">
      <c r="A85" s="31"/>
      <c r="B85" s="31"/>
      <c r="C85" s="31"/>
      <c r="D85" s="30" t="s">
        <v>123</v>
      </c>
      <c r="I85" s="37">
        <f ca="1">I224</f>
        <v>2848.6690574999998</v>
      </c>
      <c r="J85" s="37">
        <f t="shared" ref="J85:BP85" ca="1" si="34">J224</f>
        <v>2805.9423585010422</v>
      </c>
      <c r="K85" s="37">
        <f t="shared" ca="1" si="34"/>
        <v>4102.1001021855582</v>
      </c>
      <c r="L85" s="37">
        <f t="shared" ca="1" si="34"/>
        <v>5263.633230039296</v>
      </c>
      <c r="M85" s="37">
        <f t="shared" ca="1" si="34"/>
        <v>4890.3499058102943</v>
      </c>
      <c r="N85" s="37">
        <f t="shared" ca="1" si="34"/>
        <v>4465.9025171551384</v>
      </c>
      <c r="O85" s="37">
        <f t="shared" ca="1" si="34"/>
        <v>3962.6853916092646</v>
      </c>
      <c r="P85" s="37">
        <f t="shared" ca="1" si="34"/>
        <v>3428.4515797077534</v>
      </c>
      <c r="Q85" s="37">
        <f t="shared" ca="1" si="34"/>
        <v>2872.481322626903</v>
      </c>
      <c r="R85" s="37">
        <f t="shared" ca="1" si="34"/>
        <v>2248.0552125785503</v>
      </c>
      <c r="S85" s="37">
        <f t="shared" ca="1" si="34"/>
        <v>1552.7120107554481</v>
      </c>
      <c r="T85" s="37">
        <f t="shared" ca="1" si="34"/>
        <v>796.02228891221932</v>
      </c>
      <c r="U85" s="37">
        <f t="shared" ca="1" si="34"/>
        <v>-7.9358420436178498</v>
      </c>
      <c r="V85" s="37">
        <f t="shared" ca="1" si="34"/>
        <v>-861.8808980023291</v>
      </c>
      <c r="W85" s="37">
        <f t="shared" ca="1" si="34"/>
        <v>-1770.5080182256536</v>
      </c>
      <c r="X85" s="37">
        <f t="shared" ca="1" si="34"/>
        <v>-2705.9503119105957</v>
      </c>
      <c r="Y85" s="37">
        <f t="shared" ca="1" si="34"/>
        <v>-3663.1768211807935</v>
      </c>
      <c r="Z85" s="37">
        <f t="shared" ca="1" si="34"/>
        <v>-4638.4983121644837</v>
      </c>
      <c r="AA85" s="37">
        <f t="shared" ca="1" si="34"/>
        <v>-5594.1448942132192</v>
      </c>
      <c r="AB85" s="37">
        <f t="shared" ca="1" si="34"/>
        <v>-6495.0662916211668</v>
      </c>
      <c r="AC85" s="37">
        <f t="shared" ca="1" si="34"/>
        <v>-7348.271867803709</v>
      </c>
      <c r="AD85" s="37">
        <f t="shared" ca="1" si="34"/>
        <v>-8104.5578566299691</v>
      </c>
      <c r="AE85" s="37">
        <f t="shared" ca="1" si="34"/>
        <v>-8669.5036922079726</v>
      </c>
      <c r="AF85" s="37">
        <f t="shared" ca="1" si="34"/>
        <v>-9000.4580069928543</v>
      </c>
      <c r="AG85" s="37">
        <f t="shared" ca="1" si="34"/>
        <v>-8558.4974897507836</v>
      </c>
      <c r="AH85" s="37">
        <f t="shared" ca="1" si="34"/>
        <v>-7232.2010171365</v>
      </c>
      <c r="AI85" s="37">
        <f t="shared" ca="1" si="34"/>
        <v>-5467.0978941269123</v>
      </c>
      <c r="AJ85" s="37">
        <f t="shared" ca="1" si="34"/>
        <v>-3287.4626514060997</v>
      </c>
      <c r="AK85" s="37">
        <f t="shared" ca="1" si="34"/>
        <v>-713.26077785387486</v>
      </c>
      <c r="AL85" s="37">
        <f t="shared" ca="1" si="34"/>
        <v>2135.0322858912727</v>
      </c>
      <c r="AM85" s="37">
        <f t="shared" ca="1" si="34"/>
        <v>4876.867633708639</v>
      </c>
      <c r="AN85" s="37">
        <f t="shared" ca="1" si="34"/>
        <v>7607.1528505085507</v>
      </c>
      <c r="AO85" s="37">
        <f t="shared" ca="1" si="34"/>
        <v>10705.008172257951</v>
      </c>
      <c r="AP85" s="37">
        <f t="shared" ca="1" si="34"/>
        <v>14224.974891362237</v>
      </c>
      <c r="AQ85" s="37">
        <f t="shared" ca="1" si="34"/>
        <v>18225.357242015452</v>
      </c>
      <c r="AR85" s="37">
        <f t="shared" ca="1" si="34"/>
        <v>22741.893676450316</v>
      </c>
      <c r="AS85" s="37">
        <f t="shared" ca="1" si="34"/>
        <v>27885.560761791192</v>
      </c>
      <c r="AT85" s="37">
        <f t="shared" ca="1" si="34"/>
        <v>33744.61695462068</v>
      </c>
      <c r="AU85" s="37">
        <f t="shared" ca="1" si="34"/>
        <v>40372.389719101739</v>
      </c>
      <c r="AV85" s="37">
        <f t="shared" ca="1" si="34"/>
        <v>47890.645323956363</v>
      </c>
      <c r="AW85" s="37">
        <f t="shared" ca="1" si="34"/>
        <v>56384.159458736569</v>
      </c>
      <c r="AX85" s="37">
        <f t="shared" ca="1" si="34"/>
        <v>65901.995332148799</v>
      </c>
      <c r="AY85" s="37">
        <f t="shared" ca="1" si="34"/>
        <v>76545.968159146549</v>
      </c>
      <c r="AZ85" s="37">
        <f t="shared" ca="1" si="34"/>
        <v>88427.992373916626</v>
      </c>
      <c r="BA85" s="37">
        <f t="shared" ca="1" si="34"/>
        <v>101671.06023144066</v>
      </c>
      <c r="BB85" s="37">
        <f t="shared" ca="1" si="34"/>
        <v>116410.20403410087</v>
      </c>
      <c r="BC85" s="37">
        <f t="shared" ca="1" si="34"/>
        <v>132793.94295108414</v>
      </c>
      <c r="BD85" s="37">
        <f t="shared" ca="1" si="34"/>
        <v>150985.5953370521</v>
      </c>
      <c r="BE85" s="37">
        <f t="shared" ca="1" si="34"/>
        <v>173125.69594670081</v>
      </c>
      <c r="BF85" s="37">
        <f t="shared" ca="1" si="34"/>
        <v>199270.32723702537</v>
      </c>
      <c r="BG85" s="37">
        <f t="shared" ca="1" si="34"/>
        <v>228240.43010549049</v>
      </c>
      <c r="BH85" s="37">
        <f t="shared" ca="1" si="34"/>
        <v>261050.46227446079</v>
      </c>
      <c r="BI85" s="37">
        <f t="shared" ca="1" si="34"/>
        <v>297700.89492901176</v>
      </c>
      <c r="BJ85" s="37">
        <f t="shared" ca="1" si="34"/>
        <v>338178.19559627824</v>
      </c>
      <c r="BK85" s="37">
        <f t="shared" ca="1" si="34"/>
        <v>382861.40745049593</v>
      </c>
      <c r="BL85" s="37">
        <f t="shared" ca="1" si="34"/>
        <v>432167.39113256027</v>
      </c>
      <c r="BM85" s="37">
        <f t="shared" ca="1" si="34"/>
        <v>486554.2964773167</v>
      </c>
      <c r="BN85" s="37">
        <f t="shared" ca="1" si="34"/>
        <v>546525.46412454627</v>
      </c>
      <c r="BO85" s="37">
        <f t="shared" ca="1" si="34"/>
        <v>612634.17443797959</v>
      </c>
      <c r="BP85" s="37">
        <f t="shared" ca="1" si="34"/>
        <v>685488.52560738591</v>
      </c>
    </row>
    <row r="86" spans="1:68" s="30" customFormat="1" ht="15" x14ac:dyDescent="0.25">
      <c r="A86" s="31"/>
      <c r="B86" s="31"/>
      <c r="C86" s="31"/>
      <c r="D86" s="30" t="s">
        <v>124</v>
      </c>
      <c r="I86" s="37">
        <f>ROUND(-I182,2)</f>
        <v>0</v>
      </c>
      <c r="J86" s="37">
        <f t="shared" ref="J86:BP86" ca="1" si="35">ROUND(-J182,2)</f>
        <v>0</v>
      </c>
      <c r="K86" s="37">
        <f t="shared" ca="1" si="35"/>
        <v>0</v>
      </c>
      <c r="L86" s="37">
        <f t="shared" ca="1" si="35"/>
        <v>4166.67</v>
      </c>
      <c r="M86" s="37">
        <f t="shared" ca="1" si="35"/>
        <v>4059.15</v>
      </c>
      <c r="N86" s="37">
        <f t="shared" ca="1" si="35"/>
        <v>3951.18</v>
      </c>
      <c r="O86" s="37">
        <f t="shared" ca="1" si="35"/>
        <v>3842.77</v>
      </c>
      <c r="P86" s="37">
        <f t="shared" ca="1" si="35"/>
        <v>3733.9</v>
      </c>
      <c r="Q86" s="37">
        <f t="shared" ca="1" si="35"/>
        <v>3624.58</v>
      </c>
      <c r="R86" s="37">
        <f t="shared" ca="1" si="35"/>
        <v>3514.8</v>
      </c>
      <c r="S86" s="37">
        <f t="shared" ca="1" si="35"/>
        <v>3404.57</v>
      </c>
      <c r="T86" s="37">
        <f t="shared" ca="1" si="35"/>
        <v>3293.88</v>
      </c>
      <c r="U86" s="37">
        <f t="shared" ca="1" si="35"/>
        <v>3182.72</v>
      </c>
      <c r="V86" s="37">
        <f t="shared" ca="1" si="35"/>
        <v>3071.11</v>
      </c>
      <c r="W86" s="37">
        <f t="shared" ca="1" si="35"/>
        <v>2959.02</v>
      </c>
      <c r="X86" s="37">
        <f t="shared" ca="1" si="35"/>
        <v>2846.47</v>
      </c>
      <c r="Y86" s="37">
        <f t="shared" ca="1" si="35"/>
        <v>2733.45</v>
      </c>
      <c r="Z86" s="37">
        <f t="shared" ca="1" si="35"/>
        <v>2619.9699999999998</v>
      </c>
      <c r="AA86" s="37">
        <f t="shared" ca="1" si="35"/>
        <v>2506</v>
      </c>
      <c r="AB86" s="37">
        <f t="shared" ca="1" si="35"/>
        <v>2391.5700000000002</v>
      </c>
      <c r="AC86" s="37">
        <f t="shared" ca="1" si="35"/>
        <v>2276.65</v>
      </c>
      <c r="AD86" s="37">
        <f t="shared" ca="1" si="35"/>
        <v>2161.2600000000002</v>
      </c>
      <c r="AE86" s="37">
        <f t="shared" ca="1" si="35"/>
        <v>2045.39</v>
      </c>
      <c r="AF86" s="37">
        <f t="shared" ca="1" si="35"/>
        <v>1929.03</v>
      </c>
      <c r="AG86" s="37">
        <f t="shared" ca="1" si="35"/>
        <v>1812.19</v>
      </c>
      <c r="AH86" s="37">
        <f t="shared" ca="1" si="35"/>
        <v>1694.86</v>
      </c>
      <c r="AI86" s="37">
        <f t="shared" ca="1" si="35"/>
        <v>1577.04</v>
      </c>
      <c r="AJ86" s="37">
        <f t="shared" ca="1" si="35"/>
        <v>1458.74</v>
      </c>
      <c r="AK86" s="37">
        <f t="shared" ca="1" si="35"/>
        <v>1339.94</v>
      </c>
      <c r="AL86" s="37">
        <f t="shared" ca="1" si="35"/>
        <v>1220.6400000000001</v>
      </c>
      <c r="AM86" s="37">
        <f t="shared" ca="1" si="35"/>
        <v>1100.8499999999999</v>
      </c>
      <c r="AN86" s="37">
        <f t="shared" ca="1" si="35"/>
        <v>980.56</v>
      </c>
      <c r="AO86" s="37">
        <f t="shared" ca="1" si="35"/>
        <v>859.76</v>
      </c>
      <c r="AP86" s="37">
        <f t="shared" ca="1" si="35"/>
        <v>738.47</v>
      </c>
      <c r="AQ86" s="37">
        <f t="shared" ca="1" si="35"/>
        <v>616.66</v>
      </c>
      <c r="AR86" s="37">
        <f t="shared" ca="1" si="35"/>
        <v>494.35</v>
      </c>
      <c r="AS86" s="37">
        <f t="shared" ca="1" si="35"/>
        <v>371.54</v>
      </c>
      <c r="AT86" s="37">
        <f t="shared" ca="1" si="35"/>
        <v>248.21</v>
      </c>
      <c r="AU86" s="37">
        <f t="shared" ca="1" si="35"/>
        <v>124.36</v>
      </c>
      <c r="AV86" s="37">
        <f t="shared" ca="1" si="35"/>
        <v>0</v>
      </c>
      <c r="AW86" s="37">
        <f t="shared" ca="1" si="35"/>
        <v>0</v>
      </c>
      <c r="AX86" s="37">
        <f t="shared" ca="1" si="35"/>
        <v>0</v>
      </c>
      <c r="AY86" s="37">
        <f t="shared" ca="1" si="35"/>
        <v>0</v>
      </c>
      <c r="AZ86" s="37">
        <f t="shared" ca="1" si="35"/>
        <v>0</v>
      </c>
      <c r="BA86" s="37">
        <f t="shared" ca="1" si="35"/>
        <v>0</v>
      </c>
      <c r="BB86" s="37">
        <f t="shared" ca="1" si="35"/>
        <v>0</v>
      </c>
      <c r="BC86" s="37">
        <f t="shared" ca="1" si="35"/>
        <v>0</v>
      </c>
      <c r="BD86" s="37">
        <f t="shared" ca="1" si="35"/>
        <v>0</v>
      </c>
      <c r="BE86" s="37">
        <f t="shared" ca="1" si="35"/>
        <v>0</v>
      </c>
      <c r="BF86" s="37">
        <f t="shared" ca="1" si="35"/>
        <v>0</v>
      </c>
      <c r="BG86" s="37">
        <f t="shared" ca="1" si="35"/>
        <v>0</v>
      </c>
      <c r="BH86" s="37">
        <f t="shared" ca="1" si="35"/>
        <v>0</v>
      </c>
      <c r="BI86" s="37">
        <f t="shared" ca="1" si="35"/>
        <v>0</v>
      </c>
      <c r="BJ86" s="37">
        <f t="shared" ca="1" si="35"/>
        <v>0</v>
      </c>
      <c r="BK86" s="37">
        <f t="shared" ca="1" si="35"/>
        <v>0</v>
      </c>
      <c r="BL86" s="37">
        <f t="shared" ca="1" si="35"/>
        <v>0</v>
      </c>
      <c r="BM86" s="37">
        <f t="shared" ca="1" si="35"/>
        <v>0</v>
      </c>
      <c r="BN86" s="37">
        <f t="shared" ca="1" si="35"/>
        <v>0</v>
      </c>
      <c r="BO86" s="37">
        <f t="shared" ca="1" si="35"/>
        <v>0</v>
      </c>
      <c r="BP86" s="37">
        <f t="shared" ca="1" si="35"/>
        <v>0</v>
      </c>
    </row>
    <row r="87" spans="1:68" s="30" customFormat="1" ht="15" x14ac:dyDescent="0.25">
      <c r="A87" s="31"/>
      <c r="B87" s="31"/>
      <c r="C87" s="31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  <c r="AF87" s="37"/>
      <c r="AG87" s="37"/>
      <c r="AH87" s="37"/>
      <c r="AI87" s="37"/>
      <c r="AJ87" s="37"/>
      <c r="AK87" s="37"/>
      <c r="AL87" s="37"/>
      <c r="AM87" s="37"/>
      <c r="AN87" s="37"/>
      <c r="AO87" s="37"/>
      <c r="AP87" s="37"/>
      <c r="AQ87" s="37"/>
      <c r="AR87" s="37"/>
      <c r="AS87" s="37"/>
      <c r="AT87" s="37"/>
      <c r="AU87" s="37"/>
      <c r="AV87" s="37"/>
      <c r="AW87" s="37"/>
      <c r="AX87" s="37"/>
      <c r="AY87" s="37"/>
      <c r="AZ87" s="37"/>
      <c r="BA87" s="37"/>
      <c r="BB87" s="37"/>
      <c r="BC87" s="37"/>
      <c r="BD87" s="37"/>
      <c r="BE87" s="37"/>
      <c r="BF87" s="37"/>
      <c r="BG87" s="37"/>
      <c r="BH87" s="37"/>
      <c r="BI87" s="37"/>
      <c r="BJ87" s="37"/>
      <c r="BK87" s="37"/>
      <c r="BL87" s="37"/>
      <c r="BM87" s="37"/>
      <c r="BN87" s="37"/>
      <c r="BO87" s="37"/>
      <c r="BP87" s="37"/>
    </row>
    <row r="88" spans="1:68" s="30" customFormat="1" ht="15" x14ac:dyDescent="0.25">
      <c r="A88" s="31"/>
      <c r="B88" s="31"/>
      <c r="C88" s="31" t="s">
        <v>125</v>
      </c>
      <c r="I88" s="37">
        <f ca="1">I83+I85-I86</f>
        <v>-19661.657609166668</v>
      </c>
      <c r="J88" s="37">
        <f t="shared" ref="J88:BP88" ca="1" si="36">J83+J85-J86</f>
        <v>-31120.237641498959</v>
      </c>
      <c r="K88" s="37">
        <f t="shared" ca="1" si="36"/>
        <v>-72254.373231147765</v>
      </c>
      <c r="L88" s="37">
        <f t="shared" ca="1" si="36"/>
        <v>-96537.570103294041</v>
      </c>
      <c r="M88" s="37">
        <f t="shared" ca="1" si="36"/>
        <v>-104885.98676085637</v>
      </c>
      <c r="N88" s="37">
        <f t="shared" ca="1" si="36"/>
        <v>-130361.11748284487</v>
      </c>
      <c r="O88" s="37">
        <f t="shared" ca="1" si="36"/>
        <v>-156429.48460839072</v>
      </c>
      <c r="P88" s="37">
        <f t="shared" ca="1" si="36"/>
        <v>-154509.08842029222</v>
      </c>
      <c r="Q88" s="37">
        <f t="shared" ca="1" si="36"/>
        <v>-171143.47201070641</v>
      </c>
      <c r="R88" s="37">
        <f t="shared" ca="1" si="36"/>
        <v>-197013.6514540881</v>
      </c>
      <c r="S88" s="37">
        <f t="shared" ca="1" si="36"/>
        <v>-217204.56465591124</v>
      </c>
      <c r="T88" s="37">
        <f t="shared" ca="1" si="36"/>
        <v>-236843.75104442114</v>
      </c>
      <c r="U88" s="37">
        <f t="shared" ca="1" si="36"/>
        <v>-248882.60250871026</v>
      </c>
      <c r="V88" s="37">
        <f t="shared" ca="1" si="36"/>
        <v>-267696.95089800231</v>
      </c>
      <c r="W88" s="37">
        <f t="shared" ca="1" si="36"/>
        <v>-279542.19468489231</v>
      </c>
      <c r="X88" s="37">
        <f t="shared" ca="1" si="36"/>
        <v>-280650.90031191061</v>
      </c>
      <c r="Y88" s="37">
        <f t="shared" ca="1" si="36"/>
        <v>-286192.40015451418</v>
      </c>
      <c r="Z88" s="37">
        <f t="shared" ca="1" si="36"/>
        <v>-280749.50831216446</v>
      </c>
      <c r="AA88" s="37">
        <f t="shared" ca="1" si="36"/>
        <v>-259339.55822754651</v>
      </c>
      <c r="AB88" s="37">
        <f t="shared" ca="1" si="36"/>
        <v>-225484.66295828784</v>
      </c>
      <c r="AC88" s="37">
        <f t="shared" ca="1" si="36"/>
        <v>-198402.82853447035</v>
      </c>
      <c r="AD88" s="37">
        <f t="shared" ca="1" si="36"/>
        <v>-127453.37785663003</v>
      </c>
      <c r="AE88" s="37">
        <f t="shared" ca="1" si="36"/>
        <v>-29186.827025541294</v>
      </c>
      <c r="AF88" s="37">
        <f t="shared" ca="1" si="36"/>
        <v>89863.565326340482</v>
      </c>
      <c r="AG88" s="37">
        <f t="shared" ca="1" si="36"/>
        <v>622794.97917691607</v>
      </c>
      <c r="AH88" s="37">
        <f t="shared" ca="1" si="36"/>
        <v>715379.00564953021</v>
      </c>
      <c r="AI88" s="37">
        <f t="shared" ca="1" si="36"/>
        <v>824255.56210587313</v>
      </c>
      <c r="AJ88" s="37">
        <f t="shared" ca="1" si="36"/>
        <v>952937.19734859373</v>
      </c>
      <c r="AK88" s="37">
        <f t="shared" ca="1" si="36"/>
        <v>1089714.265888813</v>
      </c>
      <c r="AL88" s="37">
        <f t="shared" ca="1" si="36"/>
        <v>1232501.7922858912</v>
      </c>
      <c r="AM88" s="37">
        <f t="shared" ca="1" si="36"/>
        <v>1409203.2843003753</v>
      </c>
      <c r="AN88" s="37">
        <f t="shared" ca="1" si="36"/>
        <v>1604674.6261838414</v>
      </c>
      <c r="AO88" s="37">
        <f t="shared" ca="1" si="36"/>
        <v>1804852.7815055915</v>
      </c>
      <c r="AP88" s="37">
        <f t="shared" ca="1" si="36"/>
        <v>2045198.8048913621</v>
      </c>
      <c r="AQ88" s="37">
        <f t="shared" ca="1" si="36"/>
        <v>2301034.4639086821</v>
      </c>
      <c r="AR88" s="37">
        <f t="shared" ca="1" si="36"/>
        <v>2588742.64367645</v>
      </c>
      <c r="AS88" s="37">
        <f t="shared" ca="1" si="36"/>
        <v>2934334.4874284575</v>
      </c>
      <c r="AT88" s="37">
        <f t="shared" ca="1" si="36"/>
        <v>3315239.073621287</v>
      </c>
      <c r="AU88" s="37">
        <f t="shared" ca="1" si="36"/>
        <v>3734019.896385768</v>
      </c>
      <c r="AV88" s="37">
        <f t="shared" ca="1" si="36"/>
        <v>4194382.6786572887</v>
      </c>
      <c r="AW88" s="37">
        <f t="shared" ca="1" si="36"/>
        <v>4700468.492792069</v>
      </c>
      <c r="AX88" s="37">
        <f t="shared" ca="1" si="36"/>
        <v>5256815.9286654815</v>
      </c>
      <c r="AY88" s="37">
        <f t="shared" ca="1" si="36"/>
        <v>5868325.9681591457</v>
      </c>
      <c r="AZ88" s="37">
        <f t="shared" ca="1" si="36"/>
        <v>6540532.0590405827</v>
      </c>
      <c r="BA88" s="37">
        <f t="shared" ca="1" si="36"/>
        <v>7279709.593564773</v>
      </c>
      <c r="BB88" s="37">
        <f t="shared" ca="1" si="36"/>
        <v>8091960.2040341003</v>
      </c>
      <c r="BC88" s="37">
        <f t="shared" ca="1" si="36"/>
        <v>8984800.0096177496</v>
      </c>
      <c r="BD88" s="37">
        <f t="shared" ca="1" si="36"/>
        <v>9966349.2953370512</v>
      </c>
      <c r="BE88" s="37">
        <f t="shared" ca="1" si="36"/>
        <v>13396083.722613366</v>
      </c>
      <c r="BF88" s="37">
        <f t="shared" ca="1" si="36"/>
        <v>14818248.393903689</v>
      </c>
      <c r="BG88" s="37">
        <f t="shared" ca="1" si="36"/>
        <v>16381432.816772157</v>
      </c>
      <c r="BH88" s="37">
        <f t="shared" ca="1" si="36"/>
        <v>18100239.115607794</v>
      </c>
      <c r="BI88" s="37">
        <f t="shared" ca="1" si="36"/>
        <v>19989859.508262344</v>
      </c>
      <c r="BJ88" s="37">
        <f t="shared" ca="1" si="36"/>
        <v>22066815.862262946</v>
      </c>
      <c r="BK88" s="37">
        <f t="shared" ca="1" si="36"/>
        <v>24349387.100783829</v>
      </c>
      <c r="BL88" s="37">
        <f t="shared" ca="1" si="36"/>
        <v>26858129.431132562</v>
      </c>
      <c r="BM88" s="37">
        <f t="shared" ca="1" si="36"/>
        <v>29615567.30981065</v>
      </c>
      <c r="BN88" s="37">
        <f t="shared" ca="1" si="36"/>
        <v>32645983.784124542</v>
      </c>
      <c r="BO88" s="37">
        <f t="shared" ca="1" si="36"/>
        <v>35976690.854437977</v>
      </c>
      <c r="BP88" s="37">
        <f t="shared" ca="1" si="36"/>
        <v>39637326.005607381</v>
      </c>
    </row>
    <row r="89" spans="1:68" s="30" customFormat="1" ht="15" x14ac:dyDescent="0.25">
      <c r="A89" s="31"/>
      <c r="B89" s="31"/>
      <c r="C89" s="31"/>
      <c r="I89" s="37"/>
      <c r="J89" s="37"/>
      <c r="K89" s="37"/>
      <c r="L89" s="37"/>
      <c r="M89" s="37"/>
      <c r="N89" s="37"/>
      <c r="O89" s="37"/>
      <c r="P89" s="37"/>
      <c r="Q89" s="37"/>
      <c r="R89" s="37"/>
      <c r="S89" s="37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  <c r="AF89" s="37"/>
      <c r="AG89" s="37"/>
      <c r="AH89" s="37"/>
      <c r="AI89" s="37"/>
      <c r="AJ89" s="37"/>
      <c r="AK89" s="37"/>
      <c r="AL89" s="37"/>
      <c r="AM89" s="37"/>
      <c r="AN89" s="37"/>
      <c r="AO89" s="37"/>
      <c r="AP89" s="37"/>
      <c r="AQ89" s="37"/>
      <c r="AR89" s="37"/>
      <c r="AS89" s="37"/>
      <c r="AT89" s="37"/>
      <c r="AU89" s="37"/>
      <c r="AV89" s="37"/>
      <c r="AW89" s="37"/>
      <c r="AX89" s="37"/>
      <c r="AY89" s="37"/>
      <c r="AZ89" s="37"/>
      <c r="BA89" s="37"/>
      <c r="BB89" s="37"/>
      <c r="BC89" s="37"/>
      <c r="BD89" s="37"/>
      <c r="BE89" s="37"/>
      <c r="BF89" s="37"/>
      <c r="BG89" s="37"/>
      <c r="BH89" s="37"/>
      <c r="BI89" s="37"/>
      <c r="BJ89" s="37"/>
      <c r="BK89" s="37"/>
      <c r="BL89" s="37"/>
      <c r="BM89" s="37"/>
      <c r="BN89" s="37"/>
      <c r="BO89" s="37"/>
      <c r="BP89" s="37"/>
    </row>
    <row r="90" spans="1:68" s="30" customFormat="1" ht="15" x14ac:dyDescent="0.25">
      <c r="A90" s="31"/>
      <c r="B90" s="31"/>
      <c r="C90" s="31"/>
      <c r="D90" s="30" t="s">
        <v>126</v>
      </c>
      <c r="I90" s="37">
        <f ca="1">I161</f>
        <v>0</v>
      </c>
      <c r="J90" s="37">
        <f t="shared" ref="J90:BP90" ca="1" si="37">J161</f>
        <v>0</v>
      </c>
      <c r="K90" s="37">
        <f t="shared" ca="1" si="37"/>
        <v>0</v>
      </c>
      <c r="L90" s="37">
        <f t="shared" ca="1" si="37"/>
        <v>0</v>
      </c>
      <c r="M90" s="37">
        <f t="shared" ca="1" si="37"/>
        <v>0</v>
      </c>
      <c r="N90" s="37">
        <f t="shared" ca="1" si="37"/>
        <v>0</v>
      </c>
      <c r="O90" s="37">
        <f t="shared" ca="1" si="37"/>
        <v>0</v>
      </c>
      <c r="P90" s="37">
        <f t="shared" ca="1" si="37"/>
        <v>0</v>
      </c>
      <c r="Q90" s="37">
        <f t="shared" ca="1" si="37"/>
        <v>0</v>
      </c>
      <c r="R90" s="37">
        <f t="shared" ca="1" si="37"/>
        <v>0</v>
      </c>
      <c r="S90" s="37">
        <f t="shared" ca="1" si="37"/>
        <v>0</v>
      </c>
      <c r="T90" s="37">
        <f t="shared" ca="1" si="37"/>
        <v>0</v>
      </c>
      <c r="U90" s="37">
        <f t="shared" ca="1" si="37"/>
        <v>0</v>
      </c>
      <c r="V90" s="37">
        <f t="shared" ca="1" si="37"/>
        <v>0</v>
      </c>
      <c r="W90" s="37">
        <f t="shared" ca="1" si="37"/>
        <v>0</v>
      </c>
      <c r="X90" s="37">
        <f t="shared" ca="1" si="37"/>
        <v>0</v>
      </c>
      <c r="Y90" s="37">
        <f t="shared" ca="1" si="37"/>
        <v>0</v>
      </c>
      <c r="Z90" s="37">
        <f t="shared" ca="1" si="37"/>
        <v>0</v>
      </c>
      <c r="AA90" s="37">
        <f t="shared" ca="1" si="37"/>
        <v>0</v>
      </c>
      <c r="AB90" s="37">
        <f t="shared" ca="1" si="37"/>
        <v>0</v>
      </c>
      <c r="AC90" s="37">
        <f t="shared" ca="1" si="37"/>
        <v>0</v>
      </c>
      <c r="AD90" s="37">
        <f t="shared" ca="1" si="37"/>
        <v>0</v>
      </c>
      <c r="AE90" s="37">
        <f t="shared" ca="1" si="37"/>
        <v>0</v>
      </c>
      <c r="AF90" s="37">
        <f t="shared" ca="1" si="37"/>
        <v>0</v>
      </c>
      <c r="AG90" s="37">
        <f t="shared" ca="1" si="37"/>
        <v>0</v>
      </c>
      <c r="AH90" s="37">
        <f t="shared" ca="1" si="37"/>
        <v>0</v>
      </c>
      <c r="AI90" s="37">
        <f t="shared" ca="1" si="37"/>
        <v>0</v>
      </c>
      <c r="AJ90" s="37">
        <f t="shared" ca="1" si="37"/>
        <v>0</v>
      </c>
      <c r="AK90" s="37">
        <f t="shared" ca="1" si="37"/>
        <v>67019.342700233537</v>
      </c>
      <c r="AL90" s="37">
        <f t="shared" ca="1" si="37"/>
        <v>369750.53768576734</v>
      </c>
      <c r="AM90" s="37">
        <f t="shared" ca="1" si="37"/>
        <v>422760.98529011256</v>
      </c>
      <c r="AN90" s="37">
        <f t="shared" ca="1" si="37"/>
        <v>481402.38785515237</v>
      </c>
      <c r="AO90" s="37">
        <f t="shared" ca="1" si="37"/>
        <v>541455.83445167739</v>
      </c>
      <c r="AP90" s="37">
        <f t="shared" ca="1" si="37"/>
        <v>613559.64146740863</v>
      </c>
      <c r="AQ90" s="37">
        <f t="shared" ca="1" si="37"/>
        <v>690310.33917260461</v>
      </c>
      <c r="AR90" s="37">
        <f t="shared" ca="1" si="37"/>
        <v>776622.79310293496</v>
      </c>
      <c r="AS90" s="37">
        <f t="shared" ca="1" si="37"/>
        <v>880300.34622853727</v>
      </c>
      <c r="AT90" s="37">
        <f t="shared" ca="1" si="37"/>
        <v>994571.72208638606</v>
      </c>
      <c r="AU90" s="37">
        <f t="shared" ca="1" si="37"/>
        <v>1120205.9689157302</v>
      </c>
      <c r="AV90" s="37">
        <f t="shared" ca="1" si="37"/>
        <v>1258314.8035971865</v>
      </c>
      <c r="AW90" s="37">
        <f t="shared" ca="1" si="37"/>
        <v>1410140.5478376206</v>
      </c>
      <c r="AX90" s="37">
        <f t="shared" ca="1" si="37"/>
        <v>1577044.7785996443</v>
      </c>
      <c r="AY90" s="37">
        <f t="shared" ca="1" si="37"/>
        <v>1760497.7904477436</v>
      </c>
      <c r="AZ90" s="37">
        <f t="shared" ca="1" si="37"/>
        <v>1962159.6177121748</v>
      </c>
      <c r="BA90" s="37">
        <f t="shared" ca="1" si="37"/>
        <v>2183912.878069432</v>
      </c>
      <c r="BB90" s="37">
        <f t="shared" ca="1" si="37"/>
        <v>2427588.06121023</v>
      </c>
      <c r="BC90" s="37">
        <f t="shared" ca="1" si="37"/>
        <v>2695440.0028853249</v>
      </c>
      <c r="BD90" s="37">
        <f t="shared" ca="1" si="37"/>
        <v>2989904.7886011153</v>
      </c>
      <c r="BE90" s="37">
        <f t="shared" ca="1" si="37"/>
        <v>4018825.1167840096</v>
      </c>
      <c r="BF90" s="37">
        <f t="shared" ca="1" si="37"/>
        <v>4445474.5181711065</v>
      </c>
      <c r="BG90" s="37">
        <f t="shared" ca="1" si="37"/>
        <v>4914429.845031647</v>
      </c>
      <c r="BH90" s="37">
        <f t="shared" ca="1" si="37"/>
        <v>5430071.7346823383</v>
      </c>
      <c r="BI90" s="37">
        <f t="shared" ca="1" si="37"/>
        <v>5996957.8524787026</v>
      </c>
      <c r="BJ90" s="37">
        <f t="shared" ca="1" si="37"/>
        <v>6620044.7586788833</v>
      </c>
      <c r="BK90" s="37">
        <f t="shared" ca="1" si="37"/>
        <v>7304816.1302351486</v>
      </c>
      <c r="BL90" s="37">
        <f t="shared" ca="1" si="37"/>
        <v>8057438.8293397687</v>
      </c>
      <c r="BM90" s="37">
        <f t="shared" ca="1" si="37"/>
        <v>8884670.1929431949</v>
      </c>
      <c r="BN90" s="37">
        <f t="shared" ca="1" si="37"/>
        <v>9793795.1352373622</v>
      </c>
      <c r="BO90" s="37">
        <f t="shared" ca="1" si="37"/>
        <v>10793007.256331393</v>
      </c>
      <c r="BP90" s="37">
        <f t="shared" ca="1" si="37"/>
        <v>11891197.801682213</v>
      </c>
    </row>
    <row r="91" spans="1:68" s="30" customFormat="1" ht="15" x14ac:dyDescent="0.25">
      <c r="A91" s="31"/>
      <c r="B91" s="31"/>
      <c r="C91" s="31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  <c r="AF91" s="37"/>
      <c r="AG91" s="37"/>
      <c r="AH91" s="37"/>
      <c r="AI91" s="37"/>
      <c r="AJ91" s="37"/>
      <c r="AK91" s="37"/>
      <c r="AL91" s="37"/>
      <c r="AM91" s="37"/>
      <c r="AN91" s="37"/>
      <c r="AO91" s="37"/>
      <c r="AP91" s="37"/>
      <c r="AQ91" s="37"/>
      <c r="AR91" s="37"/>
      <c r="AS91" s="37"/>
      <c r="AT91" s="37"/>
      <c r="AU91" s="37"/>
      <c r="AV91" s="37"/>
      <c r="AW91" s="37"/>
      <c r="AX91" s="37"/>
      <c r="AY91" s="37"/>
      <c r="AZ91" s="37"/>
      <c r="BA91" s="37"/>
      <c r="BB91" s="37"/>
      <c r="BC91" s="37"/>
      <c r="BD91" s="37"/>
      <c r="BE91" s="37"/>
      <c r="BF91" s="37"/>
      <c r="BG91" s="37"/>
      <c r="BH91" s="37"/>
      <c r="BI91" s="37"/>
      <c r="BJ91" s="37"/>
      <c r="BK91" s="37"/>
      <c r="BL91" s="37"/>
      <c r="BM91" s="37"/>
      <c r="BN91" s="37"/>
      <c r="BO91" s="37"/>
      <c r="BP91" s="37"/>
    </row>
    <row r="92" spans="1:68" s="30" customFormat="1" ht="15.75" thickBot="1" x14ac:dyDescent="0.3">
      <c r="A92" s="43"/>
      <c r="B92" s="43"/>
      <c r="C92" s="43" t="s">
        <v>127</v>
      </c>
      <c r="D92" s="43"/>
      <c r="E92" s="43"/>
      <c r="F92" s="43"/>
      <c r="G92" s="43"/>
      <c r="H92" s="44">
        <f ca="1">SUM(I92:BP92)</f>
        <v>264538615.4588632</v>
      </c>
      <c r="I92" s="44">
        <f ca="1">I88-I90</f>
        <v>-19661.657609166668</v>
      </c>
      <c r="J92" s="44">
        <f t="shared" ref="J92:BP92" ca="1" si="38">J88-J90</f>
        <v>-31120.237641498959</v>
      </c>
      <c r="K92" s="44">
        <f t="shared" ca="1" si="38"/>
        <v>-72254.373231147765</v>
      </c>
      <c r="L92" s="44">
        <f t="shared" ca="1" si="38"/>
        <v>-96537.570103294041</v>
      </c>
      <c r="M92" s="44">
        <f t="shared" ca="1" si="38"/>
        <v>-104885.98676085637</v>
      </c>
      <c r="N92" s="44">
        <f t="shared" ca="1" si="38"/>
        <v>-130361.11748284487</v>
      </c>
      <c r="O92" s="44">
        <f t="shared" ca="1" si="38"/>
        <v>-156429.48460839072</v>
      </c>
      <c r="P92" s="44">
        <f t="shared" ca="1" si="38"/>
        <v>-154509.08842029222</v>
      </c>
      <c r="Q92" s="44">
        <f t="shared" ca="1" si="38"/>
        <v>-171143.47201070641</v>
      </c>
      <c r="R92" s="44">
        <f t="shared" ca="1" si="38"/>
        <v>-197013.6514540881</v>
      </c>
      <c r="S92" s="44">
        <f t="shared" ca="1" si="38"/>
        <v>-217204.56465591124</v>
      </c>
      <c r="T92" s="44">
        <f t="shared" ca="1" si="38"/>
        <v>-236843.75104442114</v>
      </c>
      <c r="U92" s="44">
        <f t="shared" ca="1" si="38"/>
        <v>-248882.60250871026</v>
      </c>
      <c r="V92" s="44">
        <f t="shared" ca="1" si="38"/>
        <v>-267696.95089800231</v>
      </c>
      <c r="W92" s="44">
        <f t="shared" ca="1" si="38"/>
        <v>-279542.19468489231</v>
      </c>
      <c r="X92" s="44">
        <f t="shared" ca="1" si="38"/>
        <v>-280650.90031191061</v>
      </c>
      <c r="Y92" s="44">
        <f t="shared" ca="1" si="38"/>
        <v>-286192.40015451418</v>
      </c>
      <c r="Z92" s="44">
        <f t="shared" ca="1" si="38"/>
        <v>-280749.50831216446</v>
      </c>
      <c r="AA92" s="44">
        <f t="shared" ca="1" si="38"/>
        <v>-259339.55822754651</v>
      </c>
      <c r="AB92" s="44">
        <f t="shared" ca="1" si="38"/>
        <v>-225484.66295828784</v>
      </c>
      <c r="AC92" s="44">
        <f t="shared" ca="1" si="38"/>
        <v>-198402.82853447035</v>
      </c>
      <c r="AD92" s="44">
        <f t="shared" ca="1" si="38"/>
        <v>-127453.37785663003</v>
      </c>
      <c r="AE92" s="44">
        <f t="shared" ca="1" si="38"/>
        <v>-29186.827025541294</v>
      </c>
      <c r="AF92" s="44">
        <f t="shared" ca="1" si="38"/>
        <v>89863.565326340482</v>
      </c>
      <c r="AG92" s="44">
        <f t="shared" ca="1" si="38"/>
        <v>622794.97917691607</v>
      </c>
      <c r="AH92" s="44">
        <f t="shared" ca="1" si="38"/>
        <v>715379.00564953021</v>
      </c>
      <c r="AI92" s="44">
        <f t="shared" ca="1" si="38"/>
        <v>824255.56210587313</v>
      </c>
      <c r="AJ92" s="44">
        <f t="shared" ca="1" si="38"/>
        <v>952937.19734859373</v>
      </c>
      <c r="AK92" s="44">
        <f t="shared" ca="1" si="38"/>
        <v>1022694.9231885794</v>
      </c>
      <c r="AL92" s="44">
        <f t="shared" ca="1" si="38"/>
        <v>862751.25460012397</v>
      </c>
      <c r="AM92" s="44">
        <f t="shared" ca="1" si="38"/>
        <v>986442.29901026271</v>
      </c>
      <c r="AN92" s="44">
        <f t="shared" ca="1" si="38"/>
        <v>1123272.238328689</v>
      </c>
      <c r="AO92" s="44">
        <f t="shared" ca="1" si="38"/>
        <v>1263396.947053914</v>
      </c>
      <c r="AP92" s="44">
        <f t="shared" ca="1" si="38"/>
        <v>1431639.1634239536</v>
      </c>
      <c r="AQ92" s="44">
        <f t="shared" ca="1" si="38"/>
        <v>1610724.1247360776</v>
      </c>
      <c r="AR92" s="44">
        <f t="shared" ca="1" si="38"/>
        <v>1812119.8505735151</v>
      </c>
      <c r="AS92" s="44">
        <f t="shared" ca="1" si="38"/>
        <v>2054034.1411999203</v>
      </c>
      <c r="AT92" s="44">
        <f t="shared" ca="1" si="38"/>
        <v>2320667.3515349012</v>
      </c>
      <c r="AU92" s="44">
        <f t="shared" ca="1" si="38"/>
        <v>2613813.9274700377</v>
      </c>
      <c r="AV92" s="44">
        <f t="shared" ca="1" si="38"/>
        <v>2936067.875060102</v>
      </c>
      <c r="AW92" s="44">
        <f t="shared" ca="1" si="38"/>
        <v>3290327.9449544484</v>
      </c>
      <c r="AX92" s="44">
        <f t="shared" ca="1" si="38"/>
        <v>3679771.1500658374</v>
      </c>
      <c r="AY92" s="44">
        <f t="shared" ca="1" si="38"/>
        <v>4107828.1777114021</v>
      </c>
      <c r="AZ92" s="44">
        <f t="shared" ca="1" si="38"/>
        <v>4578372.4413284082</v>
      </c>
      <c r="BA92" s="44">
        <f t="shared" ca="1" si="38"/>
        <v>5095796.7154953405</v>
      </c>
      <c r="BB92" s="44">
        <f t="shared" ca="1" si="38"/>
        <v>5664372.1428238703</v>
      </c>
      <c r="BC92" s="44">
        <f t="shared" ca="1" si="38"/>
        <v>6289360.0067324247</v>
      </c>
      <c r="BD92" s="44">
        <f t="shared" ca="1" si="38"/>
        <v>6976444.5067359358</v>
      </c>
      <c r="BE92" s="44">
        <f t="shared" ca="1" si="38"/>
        <v>9377258.6058293562</v>
      </c>
      <c r="BF92" s="44">
        <f t="shared" ca="1" si="38"/>
        <v>10372773.875732582</v>
      </c>
      <c r="BG92" s="44">
        <f t="shared" ca="1" si="38"/>
        <v>11467002.97174051</v>
      </c>
      <c r="BH92" s="44">
        <f t="shared" ca="1" si="38"/>
        <v>12670167.380925456</v>
      </c>
      <c r="BI92" s="44">
        <f t="shared" ca="1" si="38"/>
        <v>13992901.655783642</v>
      </c>
      <c r="BJ92" s="44">
        <f t="shared" ca="1" si="38"/>
        <v>15446771.103584062</v>
      </c>
      <c r="BK92" s="44">
        <f t="shared" ca="1" si="38"/>
        <v>17044570.970548682</v>
      </c>
      <c r="BL92" s="44">
        <f t="shared" ca="1" si="38"/>
        <v>18800690.601792794</v>
      </c>
      <c r="BM92" s="44">
        <f t="shared" ca="1" si="38"/>
        <v>20730897.116867453</v>
      </c>
      <c r="BN92" s="44">
        <f t="shared" ca="1" si="38"/>
        <v>22852188.64888718</v>
      </c>
      <c r="BO92" s="44">
        <f t="shared" ca="1" si="38"/>
        <v>25183683.598106585</v>
      </c>
      <c r="BP92" s="44">
        <f t="shared" ca="1" si="38"/>
        <v>27746128.20392517</v>
      </c>
    </row>
    <row r="93" spans="1:68" s="30" customFormat="1" ht="15.75" thickTop="1" x14ac:dyDescent="0.25">
      <c r="I93" s="37"/>
    </row>
    <row r="94" spans="1:68" s="30" customFormat="1" ht="15" x14ac:dyDescent="0.25">
      <c r="I94" s="37"/>
    </row>
    <row r="95" spans="1:68" s="30" customFormat="1" ht="20.25" thickBot="1" x14ac:dyDescent="0.35">
      <c r="A95" s="70"/>
      <c r="B95" s="70" t="s">
        <v>52</v>
      </c>
      <c r="C95" s="70"/>
      <c r="D95" s="70"/>
      <c r="E95" s="70"/>
      <c r="F95" s="70"/>
      <c r="G95" s="70"/>
      <c r="H95" s="70"/>
      <c r="I95" s="70"/>
      <c r="J95" s="70"/>
      <c r="K95" s="70"/>
      <c r="L95" s="70"/>
      <c r="M95" s="70"/>
      <c r="N95" s="70"/>
      <c r="O95" s="70"/>
      <c r="P95" s="70"/>
      <c r="Q95" s="70"/>
      <c r="R95" s="70"/>
      <c r="S95" s="70"/>
      <c r="T95" s="70"/>
      <c r="U95" s="70"/>
      <c r="V95" s="70"/>
      <c r="W95" s="70"/>
      <c r="X95" s="70"/>
      <c r="Y95" s="70"/>
      <c r="Z95" s="70"/>
      <c r="AA95" s="70"/>
      <c r="AB95" s="70"/>
      <c r="AC95" s="70"/>
      <c r="AD95" s="70"/>
      <c r="AE95" s="70"/>
      <c r="AF95" s="70"/>
      <c r="AG95" s="70"/>
      <c r="AH95" s="70"/>
      <c r="AI95" s="70"/>
      <c r="AJ95" s="70"/>
      <c r="AK95" s="70"/>
      <c r="AL95" s="70"/>
      <c r="AM95" s="70"/>
      <c r="AN95" s="70"/>
      <c r="AO95" s="70"/>
      <c r="AP95" s="70"/>
      <c r="AQ95" s="70"/>
      <c r="AR95" s="70"/>
      <c r="AS95" s="70"/>
      <c r="AT95" s="70"/>
      <c r="AU95" s="70"/>
      <c r="AV95" s="70"/>
      <c r="AW95" s="70"/>
      <c r="AX95" s="70"/>
      <c r="AY95" s="70"/>
      <c r="AZ95" s="70"/>
      <c r="BA95" s="70"/>
      <c r="BB95" s="70"/>
      <c r="BC95" s="70"/>
      <c r="BD95" s="70"/>
      <c r="BE95" s="70"/>
      <c r="BF95" s="70"/>
      <c r="BG95" s="70"/>
      <c r="BH95" s="70"/>
      <c r="BI95" s="70"/>
      <c r="BJ95" s="70"/>
      <c r="BK95" s="70"/>
      <c r="BL95" s="70"/>
      <c r="BM95" s="70"/>
      <c r="BN95" s="70"/>
      <c r="BO95" s="70"/>
      <c r="BP95" s="70"/>
    </row>
    <row r="96" spans="1:68" s="30" customFormat="1" ht="15.75" thickTop="1" x14ac:dyDescent="0.25"/>
    <row r="97" spans="1:68" s="30" customFormat="1" ht="15" x14ac:dyDescent="0.25">
      <c r="A97" s="31"/>
      <c r="B97" s="31"/>
      <c r="C97" s="31" t="s">
        <v>53</v>
      </c>
    </row>
    <row r="98" spans="1:68" s="30" customFormat="1" ht="15" x14ac:dyDescent="0.25">
      <c r="D98" s="31" t="s">
        <v>128</v>
      </c>
    </row>
    <row r="99" spans="1:68" s="30" customFormat="1" ht="15" x14ac:dyDescent="0.25">
      <c r="E99" s="30" t="s">
        <v>129</v>
      </c>
      <c r="I99" s="37">
        <f ca="1">I230</f>
        <v>979535.20305749995</v>
      </c>
      <c r="J99" s="37">
        <f t="shared" ref="J99:BP99" ca="1" si="39">J230</f>
        <v>947345.49941600102</v>
      </c>
      <c r="K99" s="37">
        <f t="shared" ca="1" si="39"/>
        <v>1869625.2421848532</v>
      </c>
      <c r="L99" s="37">
        <f t="shared" ca="1" si="39"/>
        <v>1744986.8916435603</v>
      </c>
      <c r="M99" s="37">
        <f t="shared" ca="1" si="39"/>
        <v>1613286.25081788</v>
      </c>
      <c r="N99" s="37">
        <f t="shared" ca="1" si="39"/>
        <v>1453512.8063199413</v>
      </c>
      <c r="O99" s="37">
        <f t="shared" ca="1" si="39"/>
        <v>1267719.8618894494</v>
      </c>
      <c r="P99" s="37">
        <f t="shared" ca="1" si="39"/>
        <v>1086646.8157755749</v>
      </c>
      <c r="Q99" s="37">
        <f t="shared" ca="1" si="39"/>
        <v>885927.14391978527</v>
      </c>
      <c r="R99" s="37">
        <f t="shared" ca="1" si="39"/>
        <v>657844.48563237046</v>
      </c>
      <c r="S99" s="37">
        <f t="shared" ca="1" si="39"/>
        <v>408425.03375354927</v>
      </c>
      <c r="T99" s="37">
        <f t="shared" ca="1" si="39"/>
        <v>138214.84378945606</v>
      </c>
      <c r="U99" s="37">
        <f t="shared" ca="1" si="39"/>
        <v>-143664.49988998048</v>
      </c>
      <c r="V99" s="37">
        <f t="shared" ca="1" si="39"/>
        <v>-448201.42535247601</v>
      </c>
      <c r="W99" s="37">
        <f t="shared" ca="1" si="39"/>
        <v>-767631.72373476904</v>
      </c>
      <c r="X99" s="37">
        <f t="shared" ca="1" si="39"/>
        <v>-1090583.011887264</v>
      </c>
      <c r="Y99" s="37">
        <f t="shared" ca="1" si="39"/>
        <v>-1424972.8423150317</v>
      </c>
      <c r="Z99" s="37">
        <f t="shared" ca="1" si="39"/>
        <v>-1760350.2129099215</v>
      </c>
      <c r="AA99" s="37">
        <f t="shared" ca="1" si="39"/>
        <v>-2081229.0023019272</v>
      </c>
      <c r="AB99" s="37">
        <f t="shared" ca="1" si="39"/>
        <v>-2379025.8068156373</v>
      </c>
      <c r="AC99" s="37">
        <f t="shared" ca="1" si="39"/>
        <v>-2667137.4601175659</v>
      </c>
      <c r="AD99" s="37">
        <f t="shared" ca="1" si="39"/>
        <v>-2898378.1994281858</v>
      </c>
      <c r="AE99" s="37">
        <f t="shared" ca="1" si="39"/>
        <v>-3055093.8360637748</v>
      </c>
      <c r="AF99" s="37">
        <f t="shared" ca="1" si="39"/>
        <v>-3125649.2553097461</v>
      </c>
      <c r="AG99" s="37">
        <f t="shared" ca="1" si="39"/>
        <v>-2751593.2351519712</v>
      </c>
      <c r="AH99" s="37">
        <f t="shared" ca="1" si="39"/>
        <v>-2214862.5204730509</v>
      </c>
      <c r="AI99" s="37">
        <f t="shared" ca="1" si="39"/>
        <v>-1539471.7048223873</v>
      </c>
      <c r="AJ99" s="37">
        <f t="shared" ca="1" si="39"/>
        <v>-718075.8616503441</v>
      </c>
      <c r="AK99" s="37">
        <f t="shared" ca="1" si="39"/>
        <v>228269.49605840479</v>
      </c>
      <c r="AL99" s="37">
        <f t="shared" ca="1" si="39"/>
        <v>1237887.6751243593</v>
      </c>
      <c r="AM99" s="37">
        <f t="shared" ca="1" si="39"/>
        <v>2111126.9984809873</v>
      </c>
      <c r="AN99" s="37">
        <f t="shared" ca="1" si="39"/>
        <v>3112813.5375753837</v>
      </c>
      <c r="AO99" s="37">
        <f t="shared" ca="1" si="39"/>
        <v>4238468.5030023269</v>
      </c>
      <c r="AP99" s="37">
        <f t="shared" ca="1" si="39"/>
        <v>5530024.9688231396</v>
      </c>
      <c r="AQ99" s="37">
        <f t="shared" ca="1" si="39"/>
        <v>6985588.2115151845</v>
      </c>
      <c r="AR99" s="37">
        <f t="shared" ca="1" si="39"/>
        <v>8631595.0602986235</v>
      </c>
      <c r="AS99" s="37">
        <f t="shared" ca="1" si="39"/>
        <v>10517817.879977128</v>
      </c>
      <c r="AT99" s="37">
        <f t="shared" ca="1" si="39"/>
        <v>12655092.648717385</v>
      </c>
      <c r="AU99" s="37">
        <f t="shared" ca="1" si="39"/>
        <v>15069204.119814333</v>
      </c>
      <c r="AV99" s="37">
        <f t="shared" ca="1" si="39"/>
        <v>17817986.176222559</v>
      </c>
      <c r="AW99" s="37">
        <f t="shared" ca="1" si="39"/>
        <v>20901821.612084109</v>
      </c>
      <c r="AX99" s="37">
        <f t="shared" ca="1" si="39"/>
        <v>24354020.039578639</v>
      </c>
      <c r="AY99" s="37">
        <f t="shared" ca="1" si="39"/>
        <v>28211189.809138142</v>
      </c>
      <c r="AZ99" s="37">
        <f t="shared" ca="1" si="39"/>
        <v>32513575.811064314</v>
      </c>
      <c r="BA99" s="37">
        <f t="shared" ca="1" si="39"/>
        <v>37305393.693583578</v>
      </c>
      <c r="BB99" s="37">
        <f t="shared" ca="1" si="39"/>
        <v>42635156.419548243</v>
      </c>
      <c r="BC99" s="37">
        <f t="shared" ca="1" si="39"/>
        <v>48556341.261289097</v>
      </c>
      <c r="BD99" s="37">
        <f t="shared" ca="1" si="39"/>
        <v>55127623.993740827</v>
      </c>
      <c r="BE99" s="37">
        <f t="shared" ca="1" si="39"/>
        <v>63760264.637086414</v>
      </c>
      <c r="BF99" s="37">
        <f t="shared" ca="1" si="39"/>
        <v>73081515.795539424</v>
      </c>
      <c r="BG99" s="37">
        <f t="shared" ca="1" si="39"/>
        <v>83654448.135473803</v>
      </c>
      <c r="BH99" s="37">
        <f t="shared" ca="1" si="39"/>
        <v>95612633.600716621</v>
      </c>
      <c r="BI99" s="37">
        <f t="shared" ca="1" si="39"/>
        <v>108822823.8169633</v>
      </c>
      <c r="BJ99" s="37">
        <f t="shared" ca="1" si="39"/>
        <v>123408974.21608087</v>
      </c>
      <c r="BK99" s="37">
        <f t="shared" ca="1" si="39"/>
        <v>139507423.72885248</v>
      </c>
      <c r="BL99" s="37">
        <f t="shared" ca="1" si="39"/>
        <v>157268097.58174989</v>
      </c>
      <c r="BM99" s="37">
        <f t="shared" ca="1" si="39"/>
        <v>176855688.58488744</v>
      </c>
      <c r="BN99" s="37">
        <f t="shared" ca="1" si="39"/>
        <v>198451155.13606879</v>
      </c>
      <c r="BO99" s="37">
        <f t="shared" ca="1" si="39"/>
        <v>222253484.3672694</v>
      </c>
      <c r="BP99" s="37">
        <f t="shared" ca="1" si="39"/>
        <v>248481278.8605454</v>
      </c>
    </row>
    <row r="100" spans="1:68" s="30" customFormat="1" ht="15" x14ac:dyDescent="0.25">
      <c r="E100" s="30" t="s">
        <v>130</v>
      </c>
      <c r="I100" s="37">
        <f ca="1">I141</f>
        <v>1032</v>
      </c>
      <c r="J100" s="37">
        <f t="shared" ref="J100:BP100" ca="1" si="40">J141</f>
        <v>1852</v>
      </c>
      <c r="K100" s="37">
        <f t="shared" ca="1" si="40"/>
        <v>2654</v>
      </c>
      <c r="L100" s="37">
        <f t="shared" ca="1" si="40"/>
        <v>3438</v>
      </c>
      <c r="M100" s="37">
        <f t="shared" ca="1" si="40"/>
        <v>4456</v>
      </c>
      <c r="N100" s="37">
        <f t="shared" ca="1" si="40"/>
        <v>5780</v>
      </c>
      <c r="O100" s="37">
        <f t="shared" ca="1" si="40"/>
        <v>7490</v>
      </c>
      <c r="P100" s="37">
        <f t="shared" ca="1" si="40"/>
        <v>9710</v>
      </c>
      <c r="Q100" s="37">
        <f t="shared" ca="1" si="40"/>
        <v>12592</v>
      </c>
      <c r="R100" s="37">
        <f t="shared" ca="1" si="40"/>
        <v>16334</v>
      </c>
      <c r="S100" s="37">
        <f t="shared" ca="1" si="40"/>
        <v>21184</v>
      </c>
      <c r="T100" s="37">
        <f t="shared" ca="1" si="40"/>
        <v>27478</v>
      </c>
      <c r="U100" s="37">
        <f t="shared" ca="1" si="40"/>
        <v>35664</v>
      </c>
      <c r="V100" s="37">
        <f t="shared" ca="1" si="40"/>
        <v>46298</v>
      </c>
      <c r="W100" s="37">
        <f t="shared" ca="1" si="40"/>
        <v>60110</v>
      </c>
      <c r="X100" s="37">
        <f t="shared" ca="1" si="40"/>
        <v>78044</v>
      </c>
      <c r="Y100" s="37">
        <f t="shared" ca="1" si="40"/>
        <v>101336</v>
      </c>
      <c r="Z100" s="37">
        <f t="shared" ca="1" si="40"/>
        <v>131576</v>
      </c>
      <c r="AA100" s="37">
        <f t="shared" ca="1" si="40"/>
        <v>170842</v>
      </c>
      <c r="AB100" s="37">
        <f t="shared" ca="1" si="40"/>
        <v>221832</v>
      </c>
      <c r="AC100" s="37">
        <f t="shared" ca="1" si="40"/>
        <v>288038</v>
      </c>
      <c r="AD100" s="37">
        <f t="shared" ca="1" si="40"/>
        <v>374004</v>
      </c>
      <c r="AE100" s="37">
        <f t="shared" ca="1" si="40"/>
        <v>485638</v>
      </c>
      <c r="AF100" s="37">
        <f t="shared" ca="1" si="40"/>
        <v>630594</v>
      </c>
      <c r="AG100" s="37">
        <f t="shared" ca="1" si="40"/>
        <v>849508</v>
      </c>
      <c r="AH100" s="37">
        <f t="shared" ca="1" si="40"/>
        <v>1005484</v>
      </c>
      <c r="AI100" s="37">
        <f t="shared" ca="1" si="40"/>
        <v>1132745</v>
      </c>
      <c r="AJ100" s="37">
        <f t="shared" ca="1" si="40"/>
        <v>1244305</v>
      </c>
      <c r="AK100" s="37">
        <f t="shared" ca="1" si="40"/>
        <v>1366852.5</v>
      </c>
      <c r="AL100" s="37">
        <f t="shared" ca="1" si="40"/>
        <v>1501470</v>
      </c>
      <c r="AM100" s="37">
        <f t="shared" ca="1" si="40"/>
        <v>1649350</v>
      </c>
      <c r="AN100" s="37">
        <f t="shared" ca="1" si="40"/>
        <v>1811805</v>
      </c>
      <c r="AO100" s="37">
        <f t="shared" ca="1" si="40"/>
        <v>1990260</v>
      </c>
      <c r="AP100" s="37">
        <f t="shared" ca="1" si="40"/>
        <v>2186297.5</v>
      </c>
      <c r="AQ100" s="37">
        <f t="shared" ca="1" si="40"/>
        <v>2401640</v>
      </c>
      <c r="AR100" s="37">
        <f t="shared" ca="1" si="40"/>
        <v>2638192.5</v>
      </c>
      <c r="AS100" s="37">
        <f t="shared" ca="1" si="40"/>
        <v>2898837.5</v>
      </c>
      <c r="AT100" s="37">
        <f t="shared" ca="1" si="40"/>
        <v>3185627.5</v>
      </c>
      <c r="AU100" s="37">
        <f t="shared" ca="1" si="40"/>
        <v>3500995</v>
      </c>
      <c r="AV100" s="37">
        <f t="shared" ca="1" si="40"/>
        <v>3847590</v>
      </c>
      <c r="AW100" s="37">
        <f t="shared" ca="1" si="40"/>
        <v>4228495</v>
      </c>
      <c r="AX100" s="37">
        <f t="shared" ca="1" si="40"/>
        <v>4647107.5</v>
      </c>
      <c r="AY100" s="37">
        <f t="shared" ca="1" si="40"/>
        <v>5107165</v>
      </c>
      <c r="AZ100" s="37">
        <f t="shared" ca="1" si="40"/>
        <v>5612765</v>
      </c>
      <c r="BA100" s="37">
        <f t="shared" ca="1" si="40"/>
        <v>6168420</v>
      </c>
      <c r="BB100" s="37">
        <f t="shared" ca="1" si="40"/>
        <v>6779085</v>
      </c>
      <c r="BC100" s="37">
        <f t="shared" ca="1" si="40"/>
        <v>7450210</v>
      </c>
      <c r="BD100" s="37">
        <f t="shared" ca="1" si="40"/>
        <v>8187770</v>
      </c>
      <c r="BE100" s="37">
        <f t="shared" ca="1" si="40"/>
        <v>10081218</v>
      </c>
      <c r="BF100" s="37">
        <f t="shared" ca="1" si="40"/>
        <v>11620676.5</v>
      </c>
      <c r="BG100" s="37">
        <f t="shared" ca="1" si="40"/>
        <v>13041828</v>
      </c>
      <c r="BH100" s="37">
        <f t="shared" ca="1" si="40"/>
        <v>14332959</v>
      </c>
      <c r="BI100" s="37">
        <f t="shared" ca="1" si="40"/>
        <v>15751911</v>
      </c>
      <c r="BJ100" s="37">
        <f t="shared" ca="1" si="40"/>
        <v>17311341</v>
      </c>
      <c r="BK100" s="37">
        <f t="shared" ca="1" si="40"/>
        <v>19025154</v>
      </c>
      <c r="BL100" s="37">
        <f t="shared" ca="1" si="40"/>
        <v>20908641</v>
      </c>
      <c r="BM100" s="37">
        <f t="shared" ca="1" si="40"/>
        <v>22978587</v>
      </c>
      <c r="BN100" s="37">
        <f t="shared" ca="1" si="40"/>
        <v>25253451</v>
      </c>
      <c r="BO100" s="37">
        <f t="shared" ca="1" si="40"/>
        <v>27753528</v>
      </c>
      <c r="BP100" s="37">
        <f t="shared" ca="1" si="40"/>
        <v>30501120</v>
      </c>
    </row>
    <row r="101" spans="1:68" s="30" customFormat="1" ht="15" x14ac:dyDescent="0.25">
      <c r="D101" s="31" t="s">
        <v>131</v>
      </c>
      <c r="I101" s="53">
        <f ca="1">SUBTOTAL(9,I99:I100)</f>
        <v>980567.20305749995</v>
      </c>
      <c r="J101" s="53">
        <f t="shared" ref="J101:BP101" ca="1" si="41">SUBTOTAL(9,J99:J100)</f>
        <v>949197.49941600102</v>
      </c>
      <c r="K101" s="53">
        <f t="shared" ca="1" si="41"/>
        <v>1872279.2421848532</v>
      </c>
      <c r="L101" s="53">
        <f t="shared" ca="1" si="41"/>
        <v>1748424.8916435603</v>
      </c>
      <c r="M101" s="53">
        <f t="shared" ca="1" si="41"/>
        <v>1617742.25081788</v>
      </c>
      <c r="N101" s="53">
        <f t="shared" ca="1" si="41"/>
        <v>1459292.8063199413</v>
      </c>
      <c r="O101" s="53">
        <f t="shared" ca="1" si="41"/>
        <v>1275209.8618894494</v>
      </c>
      <c r="P101" s="53">
        <f t="shared" ca="1" si="41"/>
        <v>1096356.8157755749</v>
      </c>
      <c r="Q101" s="53">
        <f t="shared" ca="1" si="41"/>
        <v>898519.14391978527</v>
      </c>
      <c r="R101" s="53">
        <f t="shared" ca="1" si="41"/>
        <v>674178.48563237046</v>
      </c>
      <c r="S101" s="53">
        <f t="shared" ca="1" si="41"/>
        <v>429609.03375354927</v>
      </c>
      <c r="T101" s="53">
        <f t="shared" ca="1" si="41"/>
        <v>165692.84378945606</v>
      </c>
      <c r="U101" s="53">
        <f t="shared" ca="1" si="41"/>
        <v>-108000.49988998048</v>
      </c>
      <c r="V101" s="53">
        <f t="shared" ca="1" si="41"/>
        <v>-401903.42535247601</v>
      </c>
      <c r="W101" s="53">
        <f t="shared" ca="1" si="41"/>
        <v>-707521.72373476904</v>
      </c>
      <c r="X101" s="53">
        <f t="shared" ca="1" si="41"/>
        <v>-1012539.011887264</v>
      </c>
      <c r="Y101" s="53">
        <f t="shared" ca="1" si="41"/>
        <v>-1323636.8423150317</v>
      </c>
      <c r="Z101" s="53">
        <f t="shared" ca="1" si="41"/>
        <v>-1628774.2129099215</v>
      </c>
      <c r="AA101" s="53">
        <f t="shared" ca="1" si="41"/>
        <v>-1910387.0023019272</v>
      </c>
      <c r="AB101" s="53">
        <f t="shared" ca="1" si="41"/>
        <v>-2157193.8068156373</v>
      </c>
      <c r="AC101" s="53">
        <f t="shared" ca="1" si="41"/>
        <v>-2379099.4601175659</v>
      </c>
      <c r="AD101" s="53">
        <f t="shared" ca="1" si="41"/>
        <v>-2524374.1994281858</v>
      </c>
      <c r="AE101" s="53">
        <f t="shared" ca="1" si="41"/>
        <v>-2569455.8360637748</v>
      </c>
      <c r="AF101" s="53">
        <f t="shared" ca="1" si="41"/>
        <v>-2495055.2553097461</v>
      </c>
      <c r="AG101" s="53">
        <f t="shared" ca="1" si="41"/>
        <v>-1902085.2351519712</v>
      </c>
      <c r="AH101" s="53">
        <f t="shared" ca="1" si="41"/>
        <v>-1209378.5204730509</v>
      </c>
      <c r="AI101" s="53">
        <f t="shared" ca="1" si="41"/>
        <v>-406726.70482238731</v>
      </c>
      <c r="AJ101" s="53">
        <f t="shared" ca="1" si="41"/>
        <v>526229.1383496559</v>
      </c>
      <c r="AK101" s="53">
        <f t="shared" ca="1" si="41"/>
        <v>1595121.9960584049</v>
      </c>
      <c r="AL101" s="53">
        <f t="shared" ca="1" si="41"/>
        <v>2739357.6751243593</v>
      </c>
      <c r="AM101" s="53">
        <f t="shared" ca="1" si="41"/>
        <v>3760476.9984809873</v>
      </c>
      <c r="AN101" s="53">
        <f t="shared" ca="1" si="41"/>
        <v>4924618.5375753837</v>
      </c>
      <c r="AO101" s="53">
        <f t="shared" ca="1" si="41"/>
        <v>6228728.5030023269</v>
      </c>
      <c r="AP101" s="53">
        <f t="shared" ca="1" si="41"/>
        <v>7716322.4688231396</v>
      </c>
      <c r="AQ101" s="53">
        <f t="shared" ca="1" si="41"/>
        <v>9387228.2115151845</v>
      </c>
      <c r="AR101" s="53">
        <f t="shared" ca="1" si="41"/>
        <v>11269787.560298624</v>
      </c>
      <c r="AS101" s="53">
        <f t="shared" ca="1" si="41"/>
        <v>13416655.379977128</v>
      </c>
      <c r="AT101" s="53">
        <f t="shared" ca="1" si="41"/>
        <v>15840720.148717385</v>
      </c>
      <c r="AU101" s="53">
        <f t="shared" ca="1" si="41"/>
        <v>18570199.119814333</v>
      </c>
      <c r="AV101" s="53">
        <f t="shared" ca="1" si="41"/>
        <v>21665576.176222559</v>
      </c>
      <c r="AW101" s="53">
        <f t="shared" ca="1" si="41"/>
        <v>25130316.612084109</v>
      </c>
      <c r="AX101" s="53">
        <f t="shared" ca="1" si="41"/>
        <v>29001127.539578639</v>
      </c>
      <c r="AY101" s="53">
        <f t="shared" ca="1" si="41"/>
        <v>33318354.809138142</v>
      </c>
      <c r="AZ101" s="53">
        <f t="shared" ca="1" si="41"/>
        <v>38126340.811064318</v>
      </c>
      <c r="BA101" s="53">
        <f t="shared" ca="1" si="41"/>
        <v>43473813.693583578</v>
      </c>
      <c r="BB101" s="53">
        <f t="shared" ca="1" si="41"/>
        <v>49414241.419548243</v>
      </c>
      <c r="BC101" s="53">
        <f t="shared" ca="1" si="41"/>
        <v>56006551.261289097</v>
      </c>
      <c r="BD101" s="53">
        <f t="shared" ca="1" si="41"/>
        <v>63315393.993740827</v>
      </c>
      <c r="BE101" s="53">
        <f t="shared" ca="1" si="41"/>
        <v>73841482.637086421</v>
      </c>
      <c r="BF101" s="53">
        <f t="shared" ca="1" si="41"/>
        <v>84702192.295539424</v>
      </c>
      <c r="BG101" s="53">
        <f t="shared" ca="1" si="41"/>
        <v>96696276.135473803</v>
      </c>
      <c r="BH101" s="53">
        <f t="shared" ca="1" si="41"/>
        <v>109945592.60071662</v>
      </c>
      <c r="BI101" s="53">
        <f t="shared" ca="1" si="41"/>
        <v>124574734.8169633</v>
      </c>
      <c r="BJ101" s="53">
        <f t="shared" ca="1" si="41"/>
        <v>140720315.21608087</v>
      </c>
      <c r="BK101" s="53">
        <f t="shared" ca="1" si="41"/>
        <v>158532577.72885248</v>
      </c>
      <c r="BL101" s="53">
        <f t="shared" ca="1" si="41"/>
        <v>178176738.58174989</v>
      </c>
      <c r="BM101" s="53">
        <f t="shared" ca="1" si="41"/>
        <v>199834275.58488744</v>
      </c>
      <c r="BN101" s="53">
        <f t="shared" ca="1" si="41"/>
        <v>223704606.13606879</v>
      </c>
      <c r="BO101" s="53">
        <f t="shared" ca="1" si="41"/>
        <v>250007012.3672694</v>
      </c>
      <c r="BP101" s="53">
        <f t="shared" ca="1" si="41"/>
        <v>278982398.8605454</v>
      </c>
    </row>
    <row r="102" spans="1:68" s="30" customFormat="1" ht="15" x14ac:dyDescent="0.25">
      <c r="I102" s="37"/>
      <c r="J102" s="37"/>
      <c r="K102" s="37"/>
      <c r="L102" s="37"/>
      <c r="M102" s="37"/>
      <c r="N102" s="37"/>
      <c r="O102" s="37"/>
      <c r="P102" s="37"/>
      <c r="Q102" s="37"/>
      <c r="R102" s="37"/>
      <c r="S102" s="37"/>
      <c r="T102" s="37"/>
      <c r="U102" s="37"/>
      <c r="V102" s="37"/>
      <c r="W102" s="37"/>
      <c r="X102" s="37"/>
      <c r="Y102" s="37"/>
      <c r="Z102" s="37"/>
      <c r="AA102" s="37"/>
      <c r="AB102" s="37"/>
      <c r="AC102" s="37"/>
      <c r="AD102" s="37"/>
      <c r="AE102" s="37"/>
      <c r="AF102" s="37"/>
      <c r="AG102" s="37"/>
      <c r="AH102" s="37"/>
      <c r="AI102" s="37"/>
      <c r="AJ102" s="37"/>
      <c r="AK102" s="37"/>
      <c r="AL102" s="37"/>
      <c r="AM102" s="37"/>
      <c r="AN102" s="37"/>
      <c r="AO102" s="37"/>
      <c r="AP102" s="37"/>
      <c r="AQ102" s="37"/>
      <c r="AR102" s="37"/>
      <c r="AS102" s="37"/>
      <c r="AT102" s="37"/>
      <c r="AU102" s="37"/>
      <c r="AV102" s="37"/>
      <c r="AW102" s="37"/>
      <c r="AX102" s="37"/>
      <c r="AY102" s="37"/>
      <c r="AZ102" s="37"/>
      <c r="BA102" s="37"/>
      <c r="BB102" s="37"/>
      <c r="BC102" s="37"/>
      <c r="BD102" s="37"/>
      <c r="BE102" s="37"/>
      <c r="BF102" s="37"/>
      <c r="BG102" s="37"/>
      <c r="BH102" s="37"/>
      <c r="BI102" s="37"/>
      <c r="BJ102" s="37"/>
      <c r="BK102" s="37"/>
      <c r="BL102" s="37"/>
      <c r="BM102" s="37"/>
      <c r="BN102" s="37"/>
      <c r="BO102" s="37"/>
      <c r="BP102" s="37"/>
    </row>
    <row r="103" spans="1:68" s="30" customFormat="1" ht="15" x14ac:dyDescent="0.25">
      <c r="D103" s="31" t="s">
        <v>132</v>
      </c>
      <c r="I103" s="37"/>
      <c r="J103" s="37"/>
      <c r="K103" s="37"/>
      <c r="L103" s="37"/>
      <c r="M103" s="37"/>
      <c r="N103" s="37"/>
      <c r="O103" s="37"/>
      <c r="P103" s="37"/>
      <c r="Q103" s="37"/>
      <c r="R103" s="37"/>
      <c r="S103" s="37"/>
      <c r="T103" s="37"/>
      <c r="U103" s="37"/>
      <c r="V103" s="37"/>
      <c r="W103" s="37"/>
      <c r="X103" s="37"/>
      <c r="Y103" s="37"/>
      <c r="Z103" s="37"/>
      <c r="AA103" s="37"/>
      <c r="AB103" s="37"/>
      <c r="AC103" s="37"/>
      <c r="AD103" s="37"/>
      <c r="AE103" s="37"/>
      <c r="AF103" s="37"/>
      <c r="AG103" s="37"/>
      <c r="AH103" s="37"/>
      <c r="AI103" s="37"/>
      <c r="AJ103" s="37"/>
      <c r="AK103" s="37"/>
      <c r="AL103" s="37"/>
      <c r="AM103" s="37"/>
      <c r="AN103" s="37"/>
      <c r="AO103" s="37"/>
      <c r="AP103" s="37"/>
      <c r="AQ103" s="37"/>
      <c r="AR103" s="37"/>
      <c r="AS103" s="37"/>
      <c r="AT103" s="37"/>
      <c r="AU103" s="37"/>
      <c r="AV103" s="37"/>
      <c r="AW103" s="37"/>
      <c r="AX103" s="37"/>
      <c r="AY103" s="37"/>
      <c r="AZ103" s="37"/>
      <c r="BA103" s="37"/>
      <c r="BB103" s="37"/>
      <c r="BC103" s="37"/>
      <c r="BD103" s="37"/>
      <c r="BE103" s="37"/>
      <c r="BF103" s="37"/>
      <c r="BG103" s="37"/>
      <c r="BH103" s="37"/>
      <c r="BI103" s="37"/>
      <c r="BJ103" s="37"/>
      <c r="BK103" s="37"/>
      <c r="BL103" s="37"/>
      <c r="BM103" s="37"/>
      <c r="BN103" s="37"/>
      <c r="BO103" s="37"/>
      <c r="BP103" s="37"/>
    </row>
    <row r="104" spans="1:68" s="30" customFormat="1" ht="15" x14ac:dyDescent="0.25">
      <c r="E104" s="30" t="s">
        <v>133</v>
      </c>
      <c r="I104" s="37">
        <f>I147</f>
        <v>3400</v>
      </c>
      <c r="J104" s="37">
        <f t="shared" ref="J104:BP104" si="42">J147</f>
        <v>5400</v>
      </c>
      <c r="K104" s="37">
        <f t="shared" si="42"/>
        <v>15000</v>
      </c>
      <c r="L104" s="37">
        <f t="shared" si="42"/>
        <v>20000</v>
      </c>
      <c r="M104" s="37">
        <f t="shared" si="42"/>
        <v>22000</v>
      </c>
      <c r="N104" s="37">
        <f t="shared" si="42"/>
        <v>28000</v>
      </c>
      <c r="O104" s="37">
        <f t="shared" si="42"/>
        <v>34000</v>
      </c>
      <c r="P104" s="37">
        <f t="shared" si="42"/>
        <v>34000</v>
      </c>
      <c r="Q104" s="37">
        <f t="shared" si="42"/>
        <v>38000</v>
      </c>
      <c r="R104" s="37">
        <f t="shared" si="42"/>
        <v>44000</v>
      </c>
      <c r="S104" s="37">
        <f t="shared" si="42"/>
        <v>50000</v>
      </c>
      <c r="T104" s="37">
        <f t="shared" si="42"/>
        <v>56000</v>
      </c>
      <c r="U104" s="37">
        <f t="shared" si="42"/>
        <v>60000</v>
      </c>
      <c r="V104" s="37">
        <f t="shared" si="42"/>
        <v>66000</v>
      </c>
      <c r="W104" s="37">
        <f t="shared" si="42"/>
        <v>72000</v>
      </c>
      <c r="X104" s="37">
        <f t="shared" si="42"/>
        <v>76000</v>
      </c>
      <c r="Y104" s="37">
        <f t="shared" si="42"/>
        <v>82000</v>
      </c>
      <c r="Z104" s="37">
        <f t="shared" si="42"/>
        <v>88000</v>
      </c>
      <c r="AA104" s="37">
        <f t="shared" si="42"/>
        <v>92000</v>
      </c>
      <c r="AB104" s="37">
        <f t="shared" si="42"/>
        <v>96000</v>
      </c>
      <c r="AC104" s="37">
        <f t="shared" si="42"/>
        <v>106000</v>
      </c>
      <c r="AD104" s="37">
        <f t="shared" si="42"/>
        <v>110000</v>
      </c>
      <c r="AE104" s="37">
        <f t="shared" si="42"/>
        <v>114000</v>
      </c>
      <c r="AF104" s="37">
        <f t="shared" si="42"/>
        <v>122000</v>
      </c>
      <c r="AG104" s="37">
        <f t="shared" si="42"/>
        <v>126000</v>
      </c>
      <c r="AH104" s="37">
        <f t="shared" si="42"/>
        <v>132000</v>
      </c>
      <c r="AI104" s="37">
        <f t="shared" si="42"/>
        <v>138000</v>
      </c>
      <c r="AJ104" s="37">
        <f t="shared" si="42"/>
        <v>142000</v>
      </c>
      <c r="AK104" s="37">
        <f t="shared" si="42"/>
        <v>148000</v>
      </c>
      <c r="AL104" s="37">
        <f t="shared" si="42"/>
        <v>156000</v>
      </c>
      <c r="AM104" s="37">
        <f t="shared" si="42"/>
        <v>160000</v>
      </c>
      <c r="AN104" s="37">
        <f t="shared" si="42"/>
        <v>164000</v>
      </c>
      <c r="AO104" s="37">
        <f t="shared" si="42"/>
        <v>172000</v>
      </c>
      <c r="AP104" s="37">
        <f t="shared" si="42"/>
        <v>176000</v>
      </c>
      <c r="AQ104" s="37">
        <f t="shared" si="42"/>
        <v>182000</v>
      </c>
      <c r="AR104" s="37">
        <f t="shared" si="42"/>
        <v>188000</v>
      </c>
      <c r="AS104" s="37">
        <f t="shared" si="42"/>
        <v>188000</v>
      </c>
      <c r="AT104" s="37">
        <f t="shared" si="42"/>
        <v>188000</v>
      </c>
      <c r="AU104" s="37">
        <f t="shared" si="42"/>
        <v>188000</v>
      </c>
      <c r="AV104" s="37">
        <f t="shared" si="42"/>
        <v>188000</v>
      </c>
      <c r="AW104" s="37">
        <f t="shared" si="42"/>
        <v>188000</v>
      </c>
      <c r="AX104" s="37">
        <f t="shared" si="42"/>
        <v>188000</v>
      </c>
      <c r="AY104" s="37">
        <f t="shared" si="42"/>
        <v>188000</v>
      </c>
      <c r="AZ104" s="37">
        <f t="shared" si="42"/>
        <v>188000</v>
      </c>
      <c r="BA104" s="37">
        <f t="shared" si="42"/>
        <v>188000</v>
      </c>
      <c r="BB104" s="37">
        <f t="shared" si="42"/>
        <v>188000</v>
      </c>
      <c r="BC104" s="37">
        <f t="shared" si="42"/>
        <v>188000</v>
      </c>
      <c r="BD104" s="37">
        <f t="shared" si="42"/>
        <v>188000</v>
      </c>
      <c r="BE104" s="37">
        <f t="shared" si="42"/>
        <v>188000</v>
      </c>
      <c r="BF104" s="37">
        <f t="shared" si="42"/>
        <v>188000</v>
      </c>
      <c r="BG104" s="37">
        <f t="shared" si="42"/>
        <v>188000</v>
      </c>
      <c r="BH104" s="37">
        <f t="shared" si="42"/>
        <v>188000</v>
      </c>
      <c r="BI104" s="37">
        <f t="shared" si="42"/>
        <v>188000</v>
      </c>
      <c r="BJ104" s="37">
        <f t="shared" si="42"/>
        <v>188000</v>
      </c>
      <c r="BK104" s="37">
        <f t="shared" si="42"/>
        <v>188000</v>
      </c>
      <c r="BL104" s="37">
        <f t="shared" si="42"/>
        <v>188000</v>
      </c>
      <c r="BM104" s="37">
        <f t="shared" si="42"/>
        <v>188000</v>
      </c>
      <c r="BN104" s="37">
        <f t="shared" si="42"/>
        <v>188000</v>
      </c>
      <c r="BO104" s="37">
        <f t="shared" si="42"/>
        <v>188000</v>
      </c>
      <c r="BP104" s="37">
        <f t="shared" si="42"/>
        <v>188000</v>
      </c>
    </row>
    <row r="105" spans="1:68" ht="15" x14ac:dyDescent="0.25">
      <c r="D105" s="30"/>
      <c r="E105" s="30" t="s">
        <v>134</v>
      </c>
      <c r="I105" s="37">
        <f ca="1">-I153</f>
        <v>-141.66666666666666</v>
      </c>
      <c r="J105" s="37">
        <f t="shared" ref="J105:BP105" ca="1" si="43">-J153</f>
        <v>-366.66666666666663</v>
      </c>
      <c r="K105" s="37">
        <f t="shared" ca="1" si="43"/>
        <v>-991.66666666666663</v>
      </c>
      <c r="L105" s="37">
        <f t="shared" ca="1" si="43"/>
        <v>-1825</v>
      </c>
      <c r="M105" s="37">
        <f t="shared" ca="1" si="43"/>
        <v>-2741.666666666667</v>
      </c>
      <c r="N105" s="37">
        <f t="shared" ca="1" si="43"/>
        <v>-3908.3333333333339</v>
      </c>
      <c r="O105" s="37">
        <f t="shared" ca="1" si="43"/>
        <v>-5325.0000000000009</v>
      </c>
      <c r="P105" s="37">
        <f t="shared" ca="1" si="43"/>
        <v>-6741.6666666666679</v>
      </c>
      <c r="Q105" s="37">
        <f t="shared" ca="1" si="43"/>
        <v>-8325.0000000000018</v>
      </c>
      <c r="R105" s="37">
        <f t="shared" ca="1" si="43"/>
        <v>-10158.333333333336</v>
      </c>
      <c r="S105" s="37">
        <f t="shared" ca="1" si="43"/>
        <v>-12241.66666666667</v>
      </c>
      <c r="T105" s="37">
        <f t="shared" ca="1" si="43"/>
        <v>-14575.000000000004</v>
      </c>
      <c r="U105" s="37">
        <f t="shared" ca="1" si="43"/>
        <v>-17075.000000000004</v>
      </c>
      <c r="V105" s="37">
        <f t="shared" ca="1" si="43"/>
        <v>-19825.000000000004</v>
      </c>
      <c r="W105" s="37">
        <f t="shared" ca="1" si="43"/>
        <v>-22825.000000000004</v>
      </c>
      <c r="X105" s="37">
        <f t="shared" ca="1" si="43"/>
        <v>-25991.666666666672</v>
      </c>
      <c r="Y105" s="37">
        <f t="shared" ca="1" si="43"/>
        <v>-29408.333333333339</v>
      </c>
      <c r="Z105" s="37">
        <f t="shared" ca="1" si="43"/>
        <v>-33075.000000000007</v>
      </c>
      <c r="AA105" s="37">
        <f t="shared" ca="1" si="43"/>
        <v>-36908.333333333343</v>
      </c>
      <c r="AB105" s="37">
        <f t="shared" ca="1" si="43"/>
        <v>-40908.333333333343</v>
      </c>
      <c r="AC105" s="37">
        <f t="shared" ca="1" si="43"/>
        <v>-45325.000000000007</v>
      </c>
      <c r="AD105" s="37">
        <f t="shared" ca="1" si="43"/>
        <v>-49908.333333333343</v>
      </c>
      <c r="AE105" s="37">
        <f t="shared" ca="1" si="43"/>
        <v>-54658.333333333343</v>
      </c>
      <c r="AF105" s="37">
        <f t="shared" ca="1" si="43"/>
        <v>-59741.666666666679</v>
      </c>
      <c r="AG105" s="37">
        <f t="shared" ca="1" si="43"/>
        <v>-64850.000000000015</v>
      </c>
      <c r="AH105" s="37">
        <f t="shared" ca="1" si="43"/>
        <v>-70125.000000000015</v>
      </c>
      <c r="AI105" s="37">
        <f t="shared" ca="1" si="43"/>
        <v>-75250.000000000015</v>
      </c>
      <c r="AJ105" s="37">
        <f t="shared" ca="1" si="43"/>
        <v>-80333.333333333343</v>
      </c>
      <c r="AK105" s="37">
        <f t="shared" ca="1" si="43"/>
        <v>-85583.333333333343</v>
      </c>
      <c r="AL105" s="37">
        <f t="shared" ca="1" si="43"/>
        <v>-90916.666666666672</v>
      </c>
      <c r="AM105" s="37">
        <f t="shared" ca="1" si="43"/>
        <v>-96166.666666666672</v>
      </c>
      <c r="AN105" s="37">
        <f t="shared" ca="1" si="43"/>
        <v>-101583.33333333334</v>
      </c>
      <c r="AO105" s="37">
        <f t="shared" ca="1" si="43"/>
        <v>-107166.66666666667</v>
      </c>
      <c r="AP105" s="37">
        <f t="shared" ca="1" si="43"/>
        <v>-112666.66666666667</v>
      </c>
      <c r="AQ105" s="37">
        <f t="shared" ca="1" si="43"/>
        <v>-118166.66666666667</v>
      </c>
      <c r="AR105" s="37">
        <f t="shared" ca="1" si="43"/>
        <v>-123666.66666666667</v>
      </c>
      <c r="AS105" s="37">
        <f t="shared" ca="1" si="43"/>
        <v>-129000</v>
      </c>
      <c r="AT105" s="37">
        <f t="shared" ca="1" si="43"/>
        <v>-134083.33333333334</v>
      </c>
      <c r="AU105" s="37">
        <f t="shared" ca="1" si="43"/>
        <v>-138916.66666666669</v>
      </c>
      <c r="AV105" s="37">
        <f t="shared" ca="1" si="43"/>
        <v>-143583.33333333334</v>
      </c>
      <c r="AW105" s="37">
        <f t="shared" ca="1" si="43"/>
        <v>-148000</v>
      </c>
      <c r="AX105" s="37">
        <f t="shared" ca="1" si="43"/>
        <v>-152166.66666666666</v>
      </c>
      <c r="AY105" s="37">
        <f t="shared" ca="1" si="43"/>
        <v>-156166.66666666666</v>
      </c>
      <c r="AZ105" s="37">
        <f t="shared" ca="1" si="43"/>
        <v>-160000</v>
      </c>
      <c r="BA105" s="37">
        <f t="shared" ca="1" si="43"/>
        <v>-163416.66666666666</v>
      </c>
      <c r="BB105" s="37">
        <f t="shared" ca="1" si="43"/>
        <v>-166666.66666666666</v>
      </c>
      <c r="BC105" s="37">
        <f t="shared" ca="1" si="43"/>
        <v>-169750</v>
      </c>
      <c r="BD105" s="37">
        <f t="shared" ca="1" si="43"/>
        <v>-172500</v>
      </c>
      <c r="BE105" s="37">
        <f t="shared" ca="1" si="43"/>
        <v>-175083.33333333334</v>
      </c>
      <c r="BF105" s="37">
        <f t="shared" ca="1" si="43"/>
        <v>-177416.66666666669</v>
      </c>
      <c r="BG105" s="37">
        <f t="shared" ca="1" si="43"/>
        <v>-179500.00000000003</v>
      </c>
      <c r="BH105" s="37">
        <f t="shared" ca="1" si="43"/>
        <v>-181416.66666666669</v>
      </c>
      <c r="BI105" s="37">
        <f t="shared" ca="1" si="43"/>
        <v>-183083.33333333334</v>
      </c>
      <c r="BJ105" s="37">
        <f t="shared" ca="1" si="43"/>
        <v>-184416.66666666669</v>
      </c>
      <c r="BK105" s="37">
        <f t="shared" ca="1" si="43"/>
        <v>-185583.33333333334</v>
      </c>
      <c r="BL105" s="37">
        <f t="shared" ca="1" si="43"/>
        <v>-186583.33333333334</v>
      </c>
      <c r="BM105" s="37">
        <f t="shared" ca="1" si="43"/>
        <v>-187250</v>
      </c>
      <c r="BN105" s="37">
        <f t="shared" ca="1" si="43"/>
        <v>-187750</v>
      </c>
      <c r="BO105" s="37">
        <f t="shared" ca="1" si="43"/>
        <v>-188000</v>
      </c>
      <c r="BP105" s="37">
        <f t="shared" ca="1" si="43"/>
        <v>-188000</v>
      </c>
    </row>
    <row r="106" spans="1:68" ht="15" x14ac:dyDescent="0.25">
      <c r="D106" s="30"/>
      <c r="E106" s="30" t="s">
        <v>135</v>
      </c>
      <c r="I106" s="37">
        <f ca="1">SUBTOTAL(9,I104:I105)</f>
        <v>3258.3333333333335</v>
      </c>
      <c r="J106" s="37">
        <f t="shared" ref="J106:BP106" ca="1" si="44">SUBTOTAL(9,J104:J105)</f>
        <v>5033.333333333333</v>
      </c>
      <c r="K106" s="37">
        <f t="shared" ca="1" si="44"/>
        <v>14008.333333333334</v>
      </c>
      <c r="L106" s="37">
        <f t="shared" ca="1" si="44"/>
        <v>18175</v>
      </c>
      <c r="M106" s="37">
        <f t="shared" ca="1" si="44"/>
        <v>19258.333333333332</v>
      </c>
      <c r="N106" s="37">
        <f t="shared" ca="1" si="44"/>
        <v>24091.666666666664</v>
      </c>
      <c r="O106" s="37">
        <f t="shared" ca="1" si="44"/>
        <v>28675</v>
      </c>
      <c r="P106" s="37">
        <f t="shared" ca="1" si="44"/>
        <v>27258.333333333332</v>
      </c>
      <c r="Q106" s="37">
        <f t="shared" ca="1" si="44"/>
        <v>29675</v>
      </c>
      <c r="R106" s="37">
        <f t="shared" ca="1" si="44"/>
        <v>33841.666666666664</v>
      </c>
      <c r="S106" s="37">
        <f t="shared" ca="1" si="44"/>
        <v>37758.333333333328</v>
      </c>
      <c r="T106" s="37">
        <f t="shared" ca="1" si="44"/>
        <v>41425</v>
      </c>
      <c r="U106" s="37">
        <f t="shared" ca="1" si="44"/>
        <v>42925</v>
      </c>
      <c r="V106" s="37">
        <f t="shared" ca="1" si="44"/>
        <v>46175</v>
      </c>
      <c r="W106" s="37">
        <f t="shared" ca="1" si="44"/>
        <v>49175</v>
      </c>
      <c r="X106" s="37">
        <f t="shared" ca="1" si="44"/>
        <v>50008.333333333328</v>
      </c>
      <c r="Y106" s="37">
        <f t="shared" ca="1" si="44"/>
        <v>52591.666666666657</v>
      </c>
      <c r="Z106" s="37">
        <f t="shared" ca="1" si="44"/>
        <v>54924.999999999993</v>
      </c>
      <c r="AA106" s="37">
        <f t="shared" ca="1" si="44"/>
        <v>55091.666666666657</v>
      </c>
      <c r="AB106" s="37">
        <f t="shared" ca="1" si="44"/>
        <v>55091.666666666657</v>
      </c>
      <c r="AC106" s="37">
        <f t="shared" ca="1" si="44"/>
        <v>60674.999999999993</v>
      </c>
      <c r="AD106" s="37">
        <f t="shared" ca="1" si="44"/>
        <v>60091.666666666657</v>
      </c>
      <c r="AE106" s="37">
        <f t="shared" ca="1" si="44"/>
        <v>59341.666666666657</v>
      </c>
      <c r="AF106" s="37">
        <f t="shared" ca="1" si="44"/>
        <v>62258.333333333321</v>
      </c>
      <c r="AG106" s="37">
        <f t="shared" ca="1" si="44"/>
        <v>61149.999999999985</v>
      </c>
      <c r="AH106" s="37">
        <f t="shared" ca="1" si="44"/>
        <v>61874.999999999985</v>
      </c>
      <c r="AI106" s="37">
        <f t="shared" ca="1" si="44"/>
        <v>62749.999999999985</v>
      </c>
      <c r="AJ106" s="37">
        <f t="shared" ca="1" si="44"/>
        <v>61666.666666666657</v>
      </c>
      <c r="AK106" s="37">
        <f t="shared" ca="1" si="44"/>
        <v>62416.666666666657</v>
      </c>
      <c r="AL106" s="37">
        <f t="shared" ca="1" si="44"/>
        <v>65083.333333333328</v>
      </c>
      <c r="AM106" s="37">
        <f t="shared" ca="1" si="44"/>
        <v>63833.333333333328</v>
      </c>
      <c r="AN106" s="37">
        <f t="shared" ca="1" si="44"/>
        <v>62416.666666666657</v>
      </c>
      <c r="AO106" s="37">
        <f t="shared" ca="1" si="44"/>
        <v>64833.333333333328</v>
      </c>
      <c r="AP106" s="37">
        <f t="shared" ca="1" si="44"/>
        <v>63333.333333333328</v>
      </c>
      <c r="AQ106" s="37">
        <f t="shared" ca="1" si="44"/>
        <v>63833.333333333328</v>
      </c>
      <c r="AR106" s="37">
        <f t="shared" ca="1" si="44"/>
        <v>64333.333333333328</v>
      </c>
      <c r="AS106" s="37">
        <f t="shared" ca="1" si="44"/>
        <v>59000</v>
      </c>
      <c r="AT106" s="37">
        <f t="shared" ca="1" si="44"/>
        <v>53916.666666666657</v>
      </c>
      <c r="AU106" s="37">
        <f t="shared" ca="1" si="44"/>
        <v>49083.333333333314</v>
      </c>
      <c r="AV106" s="37">
        <f t="shared" ca="1" si="44"/>
        <v>44416.666666666657</v>
      </c>
      <c r="AW106" s="37">
        <f t="shared" ca="1" si="44"/>
        <v>40000</v>
      </c>
      <c r="AX106" s="37">
        <f t="shared" ca="1" si="44"/>
        <v>35833.333333333343</v>
      </c>
      <c r="AY106" s="37">
        <f t="shared" ca="1" si="44"/>
        <v>31833.333333333343</v>
      </c>
      <c r="AZ106" s="37">
        <f t="shared" ca="1" si="44"/>
        <v>28000</v>
      </c>
      <c r="BA106" s="37">
        <f t="shared" ca="1" si="44"/>
        <v>24583.333333333343</v>
      </c>
      <c r="BB106" s="37">
        <f t="shared" ca="1" si="44"/>
        <v>21333.333333333343</v>
      </c>
      <c r="BC106" s="37">
        <f t="shared" ca="1" si="44"/>
        <v>18250</v>
      </c>
      <c r="BD106" s="37">
        <f t="shared" ca="1" si="44"/>
        <v>15500</v>
      </c>
      <c r="BE106" s="37">
        <f t="shared" ca="1" si="44"/>
        <v>12916.666666666657</v>
      </c>
      <c r="BF106" s="37">
        <f t="shared" ca="1" si="44"/>
        <v>10583.333333333314</v>
      </c>
      <c r="BG106" s="37">
        <f t="shared" ca="1" si="44"/>
        <v>8499.9999999999709</v>
      </c>
      <c r="BH106" s="37">
        <f t="shared" ca="1" si="44"/>
        <v>6583.3333333333139</v>
      </c>
      <c r="BI106" s="37">
        <f t="shared" ca="1" si="44"/>
        <v>4916.666666666657</v>
      </c>
      <c r="BJ106" s="37">
        <f t="shared" ca="1" si="44"/>
        <v>3583.3333333333139</v>
      </c>
      <c r="BK106" s="37">
        <f t="shared" ca="1" si="44"/>
        <v>2416.666666666657</v>
      </c>
      <c r="BL106" s="37">
        <f t="shared" ca="1" si="44"/>
        <v>1416.666666666657</v>
      </c>
      <c r="BM106" s="37">
        <f t="shared" ca="1" si="44"/>
        <v>750</v>
      </c>
      <c r="BN106" s="37">
        <f t="shared" ca="1" si="44"/>
        <v>250</v>
      </c>
      <c r="BO106" s="37">
        <f t="shared" ca="1" si="44"/>
        <v>0</v>
      </c>
      <c r="BP106" s="37">
        <f t="shared" ca="1" si="44"/>
        <v>0</v>
      </c>
    </row>
    <row r="107" spans="1:68" ht="15" x14ac:dyDescent="0.25">
      <c r="D107" s="31" t="s">
        <v>136</v>
      </c>
      <c r="E107" s="30"/>
      <c r="I107" s="53">
        <f t="shared" ref="I107:AN107" ca="1" si="45">SUBTOTAL(9,I104:I106)</f>
        <v>3258.3333333333335</v>
      </c>
      <c r="J107" s="53">
        <f t="shared" ca="1" si="45"/>
        <v>5033.333333333333</v>
      </c>
      <c r="K107" s="53">
        <f t="shared" ca="1" si="45"/>
        <v>14008.333333333334</v>
      </c>
      <c r="L107" s="53">
        <f t="shared" ca="1" si="45"/>
        <v>18175</v>
      </c>
      <c r="M107" s="53">
        <f t="shared" ca="1" si="45"/>
        <v>19258.333333333332</v>
      </c>
      <c r="N107" s="53">
        <f t="shared" ca="1" si="45"/>
        <v>24091.666666666664</v>
      </c>
      <c r="O107" s="53">
        <f t="shared" ca="1" si="45"/>
        <v>28675</v>
      </c>
      <c r="P107" s="53">
        <f t="shared" ca="1" si="45"/>
        <v>27258.333333333332</v>
      </c>
      <c r="Q107" s="53">
        <f t="shared" ca="1" si="45"/>
        <v>29675</v>
      </c>
      <c r="R107" s="53">
        <f t="shared" ca="1" si="45"/>
        <v>33841.666666666664</v>
      </c>
      <c r="S107" s="53">
        <f t="shared" ca="1" si="45"/>
        <v>37758.333333333328</v>
      </c>
      <c r="T107" s="53">
        <f t="shared" ca="1" si="45"/>
        <v>41425</v>
      </c>
      <c r="U107" s="53">
        <f t="shared" ca="1" si="45"/>
        <v>42925</v>
      </c>
      <c r="V107" s="53">
        <f t="shared" ca="1" si="45"/>
        <v>46175</v>
      </c>
      <c r="W107" s="53">
        <f t="shared" ca="1" si="45"/>
        <v>49175</v>
      </c>
      <c r="X107" s="53">
        <f t="shared" ca="1" si="45"/>
        <v>50008.333333333328</v>
      </c>
      <c r="Y107" s="53">
        <f t="shared" ca="1" si="45"/>
        <v>52591.666666666657</v>
      </c>
      <c r="Z107" s="53">
        <f t="shared" ca="1" si="45"/>
        <v>54924.999999999993</v>
      </c>
      <c r="AA107" s="53">
        <f t="shared" ca="1" si="45"/>
        <v>55091.666666666657</v>
      </c>
      <c r="AB107" s="53">
        <f t="shared" ca="1" si="45"/>
        <v>55091.666666666657</v>
      </c>
      <c r="AC107" s="53">
        <f t="shared" ca="1" si="45"/>
        <v>60674.999999999993</v>
      </c>
      <c r="AD107" s="53">
        <f t="shared" ca="1" si="45"/>
        <v>60091.666666666657</v>
      </c>
      <c r="AE107" s="53">
        <f t="shared" ca="1" si="45"/>
        <v>59341.666666666657</v>
      </c>
      <c r="AF107" s="53">
        <f t="shared" ca="1" si="45"/>
        <v>62258.333333333321</v>
      </c>
      <c r="AG107" s="53">
        <f t="shared" ca="1" si="45"/>
        <v>61149.999999999985</v>
      </c>
      <c r="AH107" s="53">
        <f t="shared" ca="1" si="45"/>
        <v>61874.999999999985</v>
      </c>
      <c r="AI107" s="53">
        <f t="shared" ca="1" si="45"/>
        <v>62749.999999999985</v>
      </c>
      <c r="AJ107" s="53">
        <f t="shared" ca="1" si="45"/>
        <v>61666.666666666657</v>
      </c>
      <c r="AK107" s="53">
        <f t="shared" ca="1" si="45"/>
        <v>62416.666666666657</v>
      </c>
      <c r="AL107" s="53">
        <f t="shared" ca="1" si="45"/>
        <v>65083.333333333328</v>
      </c>
      <c r="AM107" s="53">
        <f t="shared" ca="1" si="45"/>
        <v>63833.333333333328</v>
      </c>
      <c r="AN107" s="53">
        <f t="shared" ca="1" si="45"/>
        <v>62416.666666666657</v>
      </c>
      <c r="AO107" s="53">
        <f t="shared" ref="AO107:BP107" ca="1" si="46">SUBTOTAL(9,AO104:AO106)</f>
        <v>64833.333333333328</v>
      </c>
      <c r="AP107" s="53">
        <f t="shared" ca="1" si="46"/>
        <v>63333.333333333328</v>
      </c>
      <c r="AQ107" s="53">
        <f t="shared" ca="1" si="46"/>
        <v>63833.333333333328</v>
      </c>
      <c r="AR107" s="53">
        <f t="shared" ca="1" si="46"/>
        <v>64333.333333333328</v>
      </c>
      <c r="AS107" s="53">
        <f t="shared" ca="1" si="46"/>
        <v>59000</v>
      </c>
      <c r="AT107" s="53">
        <f t="shared" ca="1" si="46"/>
        <v>53916.666666666657</v>
      </c>
      <c r="AU107" s="53">
        <f t="shared" ca="1" si="46"/>
        <v>49083.333333333314</v>
      </c>
      <c r="AV107" s="53">
        <f t="shared" ca="1" si="46"/>
        <v>44416.666666666657</v>
      </c>
      <c r="AW107" s="53">
        <f t="shared" ca="1" si="46"/>
        <v>40000</v>
      </c>
      <c r="AX107" s="53">
        <f t="shared" ca="1" si="46"/>
        <v>35833.333333333343</v>
      </c>
      <c r="AY107" s="53">
        <f t="shared" ca="1" si="46"/>
        <v>31833.333333333343</v>
      </c>
      <c r="AZ107" s="53">
        <f t="shared" ca="1" si="46"/>
        <v>28000</v>
      </c>
      <c r="BA107" s="53">
        <f t="shared" ca="1" si="46"/>
        <v>24583.333333333343</v>
      </c>
      <c r="BB107" s="53">
        <f t="shared" ca="1" si="46"/>
        <v>21333.333333333343</v>
      </c>
      <c r="BC107" s="53">
        <f t="shared" ca="1" si="46"/>
        <v>18250</v>
      </c>
      <c r="BD107" s="53">
        <f t="shared" ca="1" si="46"/>
        <v>15500</v>
      </c>
      <c r="BE107" s="53">
        <f t="shared" ca="1" si="46"/>
        <v>12916.666666666657</v>
      </c>
      <c r="BF107" s="53">
        <f t="shared" ca="1" si="46"/>
        <v>10583.333333333314</v>
      </c>
      <c r="BG107" s="53">
        <f t="shared" ca="1" si="46"/>
        <v>8499.9999999999709</v>
      </c>
      <c r="BH107" s="53">
        <f t="shared" ca="1" si="46"/>
        <v>6583.3333333333139</v>
      </c>
      <c r="BI107" s="53">
        <f t="shared" ca="1" si="46"/>
        <v>4916.666666666657</v>
      </c>
      <c r="BJ107" s="53">
        <f t="shared" ca="1" si="46"/>
        <v>3583.3333333333139</v>
      </c>
      <c r="BK107" s="53">
        <f t="shared" ca="1" si="46"/>
        <v>2416.666666666657</v>
      </c>
      <c r="BL107" s="53">
        <f t="shared" ca="1" si="46"/>
        <v>1416.666666666657</v>
      </c>
      <c r="BM107" s="53">
        <f t="shared" ca="1" si="46"/>
        <v>750</v>
      </c>
      <c r="BN107" s="53">
        <f t="shared" ca="1" si="46"/>
        <v>250</v>
      </c>
      <c r="BO107" s="53">
        <f t="shared" ca="1" si="46"/>
        <v>0</v>
      </c>
      <c r="BP107" s="53">
        <f t="shared" ca="1" si="46"/>
        <v>0</v>
      </c>
    </row>
    <row r="108" spans="1:68" ht="15" x14ac:dyDescent="0.25">
      <c r="A108" s="30"/>
      <c r="B108" s="30"/>
      <c r="C108" s="30"/>
      <c r="D108" s="30"/>
      <c r="I108" s="37"/>
      <c r="J108" s="37"/>
      <c r="K108" s="37"/>
      <c r="L108" s="37"/>
      <c r="M108" s="37"/>
      <c r="N108" s="37"/>
      <c r="O108" s="37"/>
      <c r="P108" s="37"/>
      <c r="Q108" s="37"/>
      <c r="R108" s="37"/>
      <c r="S108" s="37"/>
      <c r="T108" s="37"/>
      <c r="U108" s="37"/>
      <c r="V108" s="37"/>
      <c r="W108" s="37"/>
      <c r="X108" s="37"/>
      <c r="Y108" s="37"/>
      <c r="Z108" s="37"/>
      <c r="AA108" s="37"/>
      <c r="AB108" s="37"/>
      <c r="AC108" s="37"/>
      <c r="AD108" s="37"/>
      <c r="AE108" s="37"/>
      <c r="AF108" s="37"/>
      <c r="AG108" s="37"/>
      <c r="AH108" s="37"/>
      <c r="AI108" s="37"/>
      <c r="AJ108" s="37"/>
      <c r="AK108" s="37"/>
      <c r="AL108" s="37"/>
      <c r="AM108" s="37"/>
      <c r="AN108" s="37"/>
      <c r="AO108" s="37"/>
      <c r="AP108" s="37"/>
      <c r="AQ108" s="37"/>
      <c r="AR108" s="37"/>
      <c r="AS108" s="37"/>
      <c r="AT108" s="37"/>
      <c r="AU108" s="37"/>
      <c r="AV108" s="37"/>
      <c r="AW108" s="37"/>
      <c r="AX108" s="37"/>
      <c r="AY108" s="37"/>
      <c r="AZ108" s="37"/>
      <c r="BA108" s="37"/>
      <c r="BB108" s="37"/>
      <c r="BC108" s="37"/>
      <c r="BD108" s="37"/>
      <c r="BE108" s="37"/>
      <c r="BF108" s="37"/>
      <c r="BG108" s="37"/>
      <c r="BH108" s="37"/>
      <c r="BI108" s="37"/>
      <c r="BJ108" s="37"/>
      <c r="BK108" s="37"/>
      <c r="BL108" s="37"/>
      <c r="BM108" s="37"/>
      <c r="BN108" s="37"/>
      <c r="BO108" s="37"/>
      <c r="BP108" s="37"/>
    </row>
    <row r="109" spans="1:68" ht="15" x14ac:dyDescent="0.25">
      <c r="A109" s="31"/>
      <c r="B109" s="31"/>
      <c r="C109" s="31" t="s">
        <v>54</v>
      </c>
      <c r="D109" s="30"/>
      <c r="I109" s="53">
        <f t="shared" ref="I109:AN109" ca="1" si="47">SUBTOTAL(9,I98:I108)</f>
        <v>983825.53639083332</v>
      </c>
      <c r="J109" s="53">
        <f t="shared" ca="1" si="47"/>
        <v>954230.8327493344</v>
      </c>
      <c r="K109" s="53">
        <f t="shared" ca="1" si="47"/>
        <v>1886287.5755181864</v>
      </c>
      <c r="L109" s="53">
        <f t="shared" ca="1" si="47"/>
        <v>1766599.8916435603</v>
      </c>
      <c r="M109" s="53">
        <f t="shared" ca="1" si="47"/>
        <v>1637000.5841512133</v>
      </c>
      <c r="N109" s="53">
        <f t="shared" ca="1" si="47"/>
        <v>1483384.472986608</v>
      </c>
      <c r="O109" s="53">
        <f t="shared" ca="1" si="47"/>
        <v>1303884.8618894494</v>
      </c>
      <c r="P109" s="53">
        <f t="shared" ca="1" si="47"/>
        <v>1123615.1491089081</v>
      </c>
      <c r="Q109" s="53">
        <f t="shared" ca="1" si="47"/>
        <v>928194.14391978527</v>
      </c>
      <c r="R109" s="53">
        <f t="shared" ca="1" si="47"/>
        <v>708020.15229903709</v>
      </c>
      <c r="S109" s="53">
        <f t="shared" ca="1" si="47"/>
        <v>467367.36708688259</v>
      </c>
      <c r="T109" s="53">
        <f t="shared" ca="1" si="47"/>
        <v>207117.84378945606</v>
      </c>
      <c r="U109" s="53">
        <f t="shared" ca="1" si="47"/>
        <v>-65075.499889980478</v>
      </c>
      <c r="V109" s="53">
        <f t="shared" ca="1" si="47"/>
        <v>-355728.42535247601</v>
      </c>
      <c r="W109" s="53">
        <f t="shared" ca="1" si="47"/>
        <v>-658346.72373476904</v>
      </c>
      <c r="X109" s="53">
        <f t="shared" ca="1" si="47"/>
        <v>-962530.6785539306</v>
      </c>
      <c r="Y109" s="53">
        <f t="shared" ca="1" si="47"/>
        <v>-1271045.1756483649</v>
      </c>
      <c r="Z109" s="53">
        <f t="shared" ca="1" si="47"/>
        <v>-1573849.2129099215</v>
      </c>
      <c r="AA109" s="53">
        <f t="shared" ca="1" si="47"/>
        <v>-1855295.3356352604</v>
      </c>
      <c r="AB109" s="53">
        <f t="shared" ca="1" si="47"/>
        <v>-2102102.1401489708</v>
      </c>
      <c r="AC109" s="53">
        <f t="shared" ca="1" si="47"/>
        <v>-2318424.4601175659</v>
      </c>
      <c r="AD109" s="53">
        <f t="shared" ca="1" si="47"/>
        <v>-2464282.5327615193</v>
      </c>
      <c r="AE109" s="53">
        <f t="shared" ca="1" si="47"/>
        <v>-2510114.1693971083</v>
      </c>
      <c r="AF109" s="53">
        <f t="shared" ca="1" si="47"/>
        <v>-2432796.9219764126</v>
      </c>
      <c r="AG109" s="53">
        <f t="shared" ca="1" si="47"/>
        <v>-1840935.2351519712</v>
      </c>
      <c r="AH109" s="53">
        <f t="shared" ca="1" si="47"/>
        <v>-1147503.5204730509</v>
      </c>
      <c r="AI109" s="53">
        <f t="shared" ca="1" si="47"/>
        <v>-343976.70482238731</v>
      </c>
      <c r="AJ109" s="53">
        <f t="shared" ca="1" si="47"/>
        <v>587895.80501632253</v>
      </c>
      <c r="AK109" s="53">
        <f t="shared" ca="1" si="47"/>
        <v>1657538.6627250717</v>
      </c>
      <c r="AL109" s="53">
        <f t="shared" ca="1" si="47"/>
        <v>2804441.0084576928</v>
      </c>
      <c r="AM109" s="53">
        <f t="shared" ca="1" si="47"/>
        <v>3824310.3318143208</v>
      </c>
      <c r="AN109" s="53">
        <f t="shared" ca="1" si="47"/>
        <v>4987035.2042420506</v>
      </c>
      <c r="AO109" s="53">
        <f t="shared" ref="AO109:BP109" ca="1" si="48">SUBTOTAL(9,AO98:AO108)</f>
        <v>6293561.83633566</v>
      </c>
      <c r="AP109" s="53">
        <f t="shared" ca="1" si="48"/>
        <v>7779655.8021564726</v>
      </c>
      <c r="AQ109" s="53">
        <f t="shared" ca="1" si="48"/>
        <v>9451061.5448485184</v>
      </c>
      <c r="AR109" s="53">
        <f t="shared" ca="1" si="48"/>
        <v>11334120.893631957</v>
      </c>
      <c r="AS109" s="53">
        <f t="shared" ca="1" si="48"/>
        <v>13475655.379977128</v>
      </c>
      <c r="AT109" s="53">
        <f t="shared" ca="1" si="48"/>
        <v>15894636.815384051</v>
      </c>
      <c r="AU109" s="53">
        <f t="shared" ca="1" si="48"/>
        <v>18619282.453147665</v>
      </c>
      <c r="AV109" s="53">
        <f t="shared" ca="1" si="48"/>
        <v>21709992.842889227</v>
      </c>
      <c r="AW109" s="53">
        <f t="shared" ca="1" si="48"/>
        <v>25170316.612084109</v>
      </c>
      <c r="AX109" s="53">
        <f t="shared" ca="1" si="48"/>
        <v>29036960.872911971</v>
      </c>
      <c r="AY109" s="53">
        <f t="shared" ca="1" si="48"/>
        <v>33350188.142471474</v>
      </c>
      <c r="AZ109" s="53">
        <f t="shared" ca="1" si="48"/>
        <v>38154340.811064318</v>
      </c>
      <c r="BA109" s="53">
        <f t="shared" ca="1" si="48"/>
        <v>43498397.026916914</v>
      </c>
      <c r="BB109" s="53">
        <f t="shared" ca="1" si="48"/>
        <v>49435574.752881579</v>
      </c>
      <c r="BC109" s="53">
        <f t="shared" ca="1" si="48"/>
        <v>56024801.261289097</v>
      </c>
      <c r="BD109" s="53">
        <f t="shared" ca="1" si="48"/>
        <v>63330893.993740827</v>
      </c>
      <c r="BE109" s="53">
        <f t="shared" ca="1" si="48"/>
        <v>73854399.303753093</v>
      </c>
      <c r="BF109" s="53">
        <f t="shared" ca="1" si="48"/>
        <v>84712775.628872752</v>
      </c>
      <c r="BG109" s="53">
        <f t="shared" ca="1" si="48"/>
        <v>96704776.135473803</v>
      </c>
      <c r="BH109" s="53">
        <f t="shared" ca="1" si="48"/>
        <v>109952175.93404995</v>
      </c>
      <c r="BI109" s="53">
        <f t="shared" ca="1" si="48"/>
        <v>124579651.48362997</v>
      </c>
      <c r="BJ109" s="53">
        <f t="shared" ca="1" si="48"/>
        <v>140723898.54941422</v>
      </c>
      <c r="BK109" s="53">
        <f t="shared" ca="1" si="48"/>
        <v>158534994.39551914</v>
      </c>
      <c r="BL109" s="53">
        <f t="shared" ca="1" si="48"/>
        <v>178178155.24841654</v>
      </c>
      <c r="BM109" s="53">
        <f t="shared" ca="1" si="48"/>
        <v>199835025.58488744</v>
      </c>
      <c r="BN109" s="53">
        <f t="shared" ca="1" si="48"/>
        <v>223704856.13606879</v>
      </c>
      <c r="BO109" s="53">
        <f t="shared" ca="1" si="48"/>
        <v>250007012.3672694</v>
      </c>
      <c r="BP109" s="53">
        <f t="shared" ca="1" si="48"/>
        <v>278982398.8605454</v>
      </c>
    </row>
    <row r="110" spans="1:68" ht="15" x14ac:dyDescent="0.25">
      <c r="A110" s="30"/>
      <c r="B110" s="30"/>
      <c r="C110" s="30"/>
      <c r="D110" s="30"/>
      <c r="I110" s="37"/>
      <c r="J110" s="37"/>
      <c r="K110" s="37"/>
      <c r="L110" s="37"/>
      <c r="M110" s="37"/>
      <c r="N110" s="37"/>
      <c r="O110" s="37"/>
      <c r="P110" s="37"/>
      <c r="Q110" s="37"/>
      <c r="R110" s="37"/>
      <c r="S110" s="37"/>
      <c r="T110" s="37"/>
      <c r="U110" s="37"/>
      <c r="V110" s="37"/>
      <c r="W110" s="37"/>
      <c r="X110" s="37"/>
      <c r="Y110" s="37"/>
      <c r="Z110" s="37"/>
      <c r="AA110" s="37"/>
      <c r="AB110" s="37"/>
      <c r="AC110" s="37"/>
      <c r="AD110" s="37"/>
      <c r="AE110" s="37"/>
      <c r="AF110" s="37"/>
      <c r="AG110" s="37"/>
      <c r="AH110" s="37"/>
      <c r="AI110" s="37"/>
      <c r="AJ110" s="37"/>
      <c r="AK110" s="37"/>
      <c r="AL110" s="37"/>
      <c r="AM110" s="37"/>
      <c r="AN110" s="37"/>
      <c r="AO110" s="37"/>
      <c r="AP110" s="37"/>
      <c r="AQ110" s="37"/>
      <c r="AR110" s="37"/>
      <c r="AS110" s="37"/>
      <c r="AT110" s="37"/>
      <c r="AU110" s="37"/>
      <c r="AV110" s="37"/>
      <c r="AW110" s="37"/>
      <c r="AX110" s="37"/>
      <c r="AY110" s="37"/>
      <c r="AZ110" s="37"/>
      <c r="BA110" s="37"/>
      <c r="BB110" s="37"/>
      <c r="BC110" s="37"/>
      <c r="BD110" s="37"/>
      <c r="BE110" s="37"/>
      <c r="BF110" s="37"/>
      <c r="BG110" s="37"/>
      <c r="BH110" s="37"/>
      <c r="BI110" s="37"/>
      <c r="BJ110" s="37"/>
      <c r="BK110" s="37"/>
      <c r="BL110" s="37"/>
      <c r="BM110" s="37"/>
      <c r="BN110" s="37"/>
      <c r="BO110" s="37"/>
      <c r="BP110" s="37"/>
    </row>
    <row r="111" spans="1:68" ht="15" x14ac:dyDescent="0.25">
      <c r="A111" s="31"/>
      <c r="B111" s="31"/>
      <c r="C111" s="31" t="s">
        <v>55</v>
      </c>
      <c r="D111" s="30"/>
      <c r="I111" s="37"/>
      <c r="J111" s="37"/>
      <c r="K111" s="37"/>
      <c r="L111" s="37"/>
      <c r="M111" s="37"/>
      <c r="N111" s="37"/>
      <c r="O111" s="37"/>
      <c r="P111" s="37"/>
      <c r="Q111" s="37"/>
      <c r="R111" s="37"/>
      <c r="S111" s="37"/>
      <c r="T111" s="37"/>
      <c r="U111" s="37"/>
      <c r="V111" s="37"/>
      <c r="W111" s="37"/>
      <c r="X111" s="37"/>
      <c r="Y111" s="37"/>
      <c r="Z111" s="37"/>
      <c r="AA111" s="37"/>
      <c r="AB111" s="37"/>
      <c r="AC111" s="37"/>
      <c r="AD111" s="37"/>
      <c r="AE111" s="37"/>
      <c r="AF111" s="37"/>
      <c r="AG111" s="37"/>
      <c r="AH111" s="37"/>
      <c r="AI111" s="37"/>
      <c r="AJ111" s="37"/>
      <c r="AK111" s="37"/>
      <c r="AL111" s="37"/>
      <c r="AM111" s="37"/>
      <c r="AN111" s="37"/>
      <c r="AO111" s="37"/>
      <c r="AP111" s="37"/>
      <c r="AQ111" s="37"/>
      <c r="AR111" s="37"/>
      <c r="AS111" s="37"/>
      <c r="AT111" s="37"/>
      <c r="AU111" s="37"/>
      <c r="AV111" s="37"/>
      <c r="AW111" s="37"/>
      <c r="AX111" s="37"/>
      <c r="AY111" s="37"/>
      <c r="AZ111" s="37"/>
      <c r="BA111" s="37"/>
      <c r="BB111" s="37"/>
      <c r="BC111" s="37"/>
      <c r="BD111" s="37"/>
      <c r="BE111" s="37"/>
      <c r="BF111" s="37"/>
      <c r="BG111" s="37"/>
      <c r="BH111" s="37"/>
      <c r="BI111" s="37"/>
      <c r="BJ111" s="37"/>
      <c r="BK111" s="37"/>
      <c r="BL111" s="37"/>
      <c r="BM111" s="37"/>
      <c r="BN111" s="37"/>
      <c r="BO111" s="37"/>
      <c r="BP111" s="37"/>
    </row>
    <row r="112" spans="1:68" ht="15" x14ac:dyDescent="0.25">
      <c r="A112" s="4"/>
      <c r="B112" s="4"/>
      <c r="C112" s="4"/>
      <c r="D112" s="31" t="s">
        <v>137</v>
      </c>
      <c r="E112" s="30"/>
      <c r="I112" s="37"/>
      <c r="J112" s="37"/>
      <c r="K112" s="37"/>
      <c r="L112" s="37"/>
      <c r="M112" s="37"/>
      <c r="N112" s="37"/>
      <c r="O112" s="37"/>
      <c r="P112" s="37"/>
      <c r="Q112" s="37"/>
      <c r="R112" s="37"/>
      <c r="S112" s="37"/>
      <c r="T112" s="37"/>
      <c r="U112" s="37"/>
      <c r="V112" s="37"/>
      <c r="W112" s="37"/>
      <c r="X112" s="37"/>
      <c r="Y112" s="37"/>
      <c r="Z112" s="37"/>
      <c r="AA112" s="37"/>
      <c r="AB112" s="37"/>
      <c r="AC112" s="37"/>
      <c r="AD112" s="37"/>
      <c r="AE112" s="37"/>
      <c r="AF112" s="37"/>
      <c r="AG112" s="37"/>
      <c r="AH112" s="37"/>
      <c r="AI112" s="37"/>
      <c r="AJ112" s="37"/>
      <c r="AK112" s="37"/>
      <c r="AL112" s="37"/>
      <c r="AM112" s="37"/>
      <c r="AN112" s="37"/>
      <c r="AO112" s="37"/>
      <c r="AP112" s="37"/>
      <c r="AQ112" s="37"/>
      <c r="AR112" s="37"/>
      <c r="AS112" s="37"/>
      <c r="AT112" s="37"/>
      <c r="AU112" s="37"/>
      <c r="AV112" s="37"/>
      <c r="AW112" s="37"/>
      <c r="AX112" s="37"/>
      <c r="AY112" s="37"/>
      <c r="AZ112" s="37"/>
      <c r="BA112" s="37"/>
      <c r="BB112" s="37"/>
      <c r="BC112" s="37"/>
      <c r="BD112" s="37"/>
      <c r="BE112" s="37"/>
      <c r="BF112" s="37"/>
      <c r="BG112" s="37"/>
      <c r="BH112" s="37"/>
      <c r="BI112" s="37"/>
      <c r="BJ112" s="37"/>
      <c r="BK112" s="37"/>
      <c r="BL112" s="37"/>
      <c r="BM112" s="37"/>
      <c r="BN112" s="37"/>
      <c r="BO112" s="37"/>
      <c r="BP112" s="37"/>
    </row>
    <row r="113" spans="1:68" ht="15" x14ac:dyDescent="0.25">
      <c r="A113" s="4"/>
      <c r="B113" s="4"/>
      <c r="C113" s="4"/>
      <c r="D113" s="31"/>
      <c r="E113" s="30" t="s">
        <v>138</v>
      </c>
      <c r="I113" s="37">
        <f ca="1">I170</f>
        <v>3487.194</v>
      </c>
      <c r="J113" s="37">
        <f t="shared" ref="J113:BP113" ca="1" si="49">J170</f>
        <v>5012.7280000000001</v>
      </c>
      <c r="K113" s="37">
        <f t="shared" ca="1" si="49"/>
        <v>9323.844000000001</v>
      </c>
      <c r="L113" s="37">
        <f t="shared" ca="1" si="49"/>
        <v>11977.960666666668</v>
      </c>
      <c r="M113" s="37">
        <f t="shared" ca="1" si="49"/>
        <v>13176.388000000001</v>
      </c>
      <c r="N113" s="37">
        <f t="shared" ca="1" si="49"/>
        <v>15941.107999999995</v>
      </c>
      <c r="O113" s="37">
        <f t="shared" ca="1" si="49"/>
        <v>18999.11066666666</v>
      </c>
      <c r="P113" s="37">
        <f t="shared" ca="1" si="49"/>
        <v>19475.482666666656</v>
      </c>
      <c r="Q113" s="37">
        <f t="shared" ca="1" si="49"/>
        <v>21544.266666666656</v>
      </c>
      <c r="R113" s="37">
        <f t="shared" ca="1" si="49"/>
        <v>24840.019999999993</v>
      </c>
      <c r="S113" s="37">
        <f t="shared" ca="1" si="49"/>
        <v>27958.126666666656</v>
      </c>
      <c r="T113" s="37">
        <f t="shared" ca="1" si="49"/>
        <v>31229.374666666659</v>
      </c>
      <c r="U113" s="37">
        <f t="shared" ca="1" si="49"/>
        <v>34706.80799999999</v>
      </c>
      <c r="V113" s="37">
        <f t="shared" ca="1" si="49"/>
        <v>38650.625333333315</v>
      </c>
      <c r="W113" s="37">
        <f t="shared" ca="1" si="49"/>
        <v>42586.395999999979</v>
      </c>
      <c r="X113" s="37">
        <f t="shared" ca="1" si="49"/>
        <v>46177.765333333307</v>
      </c>
      <c r="Y113" s="37">
        <f t="shared" ca="1" si="49"/>
        <v>51093.11066666666</v>
      </c>
      <c r="Z113" s="37">
        <f t="shared" ca="1" si="49"/>
        <v>56389.513333333321</v>
      </c>
      <c r="AA113" s="37">
        <f t="shared" ca="1" si="49"/>
        <v>61747.842666666642</v>
      </c>
      <c r="AB113" s="37">
        <f t="shared" ca="1" si="49"/>
        <v>68005.031999999948</v>
      </c>
      <c r="AC113" s="37">
        <f t="shared" ca="1" si="49"/>
        <v>77779.785333333275</v>
      </c>
      <c r="AD113" s="37">
        <f t="shared" ca="1" si="49"/>
        <v>87184.72799999993</v>
      </c>
      <c r="AE113" s="37">
        <f t="shared" ca="1" si="49"/>
        <v>98465.429333333261</v>
      </c>
      <c r="AF113" s="37">
        <f t="shared" ca="1" si="49"/>
        <v>113960.9786666666</v>
      </c>
      <c r="AG113" s="37">
        <f t="shared" ca="1" si="49"/>
        <v>111186.39466666659</v>
      </c>
      <c r="AH113" s="37">
        <f t="shared" ca="1" si="49"/>
        <v>117515.13999999993</v>
      </c>
      <c r="AI113" s="37">
        <f t="shared" ca="1" si="49"/>
        <v>125180.24666666656</v>
      </c>
      <c r="AJ113" s="37">
        <f t="shared" ca="1" si="49"/>
        <v>132627.71999999991</v>
      </c>
      <c r="AK113" s="37">
        <f t="shared" ca="1" si="49"/>
        <v>141187.2733333332</v>
      </c>
      <c r="AL113" s="37">
        <f t="shared" ca="1" si="49"/>
        <v>151357.42666666652</v>
      </c>
      <c r="AM113" s="37">
        <f t="shared" ca="1" si="49"/>
        <v>160644.05333333311</v>
      </c>
      <c r="AN113" s="37">
        <f t="shared" ca="1" si="49"/>
        <v>170445.62666666647</v>
      </c>
      <c r="AO113" s="37">
        <f t="shared" ca="1" si="49"/>
        <v>182632.99999999985</v>
      </c>
      <c r="AP113" s="37">
        <f t="shared" ca="1" si="49"/>
        <v>194216.42666666646</v>
      </c>
      <c r="AQ113" s="37">
        <f t="shared" ca="1" si="49"/>
        <v>207501.57999999984</v>
      </c>
      <c r="AR113" s="37">
        <f t="shared" ca="1" si="49"/>
        <v>221605.16666666654</v>
      </c>
      <c r="AS113" s="37">
        <f t="shared" ca="1" si="49"/>
        <v>235027.31999999989</v>
      </c>
      <c r="AT113" s="37">
        <f t="shared" ca="1" si="49"/>
        <v>248792.71999999986</v>
      </c>
      <c r="AU113" s="37">
        <f t="shared" ca="1" si="49"/>
        <v>263836.71999999986</v>
      </c>
      <c r="AV113" s="37">
        <f t="shared" ca="1" si="49"/>
        <v>280370.39999999979</v>
      </c>
      <c r="AW113" s="37">
        <f t="shared" ca="1" si="49"/>
        <v>298540.47999999975</v>
      </c>
      <c r="AX113" s="37">
        <f t="shared" ca="1" si="49"/>
        <v>318509.35999999969</v>
      </c>
      <c r="AY113" s="37">
        <f t="shared" ca="1" si="49"/>
        <v>340455.43999999959</v>
      </c>
      <c r="AZ113" s="37">
        <f t="shared" ca="1" si="49"/>
        <v>364573.83999999956</v>
      </c>
      <c r="BA113" s="37">
        <f t="shared" ca="1" si="49"/>
        <v>391080.07999999967</v>
      </c>
      <c r="BB113" s="37">
        <f t="shared" ca="1" si="49"/>
        <v>420210.47999999952</v>
      </c>
      <c r="BC113" s="37">
        <f t="shared" ca="1" si="49"/>
        <v>452225.03999999957</v>
      </c>
      <c r="BD113" s="37">
        <f t="shared" ca="1" si="49"/>
        <v>487408.47999999963</v>
      </c>
      <c r="BE113" s="37">
        <f t="shared" ca="1" si="49"/>
        <v>604734.85599999968</v>
      </c>
      <c r="BF113" s="37">
        <f t="shared" ca="1" si="49"/>
        <v>663687.90399999963</v>
      </c>
      <c r="BG113" s="37">
        <f t="shared" ca="1" si="49"/>
        <v>719730.11199999962</v>
      </c>
      <c r="BH113" s="37">
        <f t="shared" ca="1" si="49"/>
        <v>781320.63999999943</v>
      </c>
      <c r="BI113" s="37">
        <f t="shared" ca="1" si="49"/>
        <v>849008.41599999939</v>
      </c>
      <c r="BJ113" s="37">
        <f t="shared" ca="1" si="49"/>
        <v>923397.47199999937</v>
      </c>
      <c r="BK113" s="37">
        <f t="shared" ca="1" si="49"/>
        <v>1005150.9759999993</v>
      </c>
      <c r="BL113" s="37">
        <f t="shared" ca="1" si="49"/>
        <v>1094998.5279999992</v>
      </c>
      <c r="BM113" s="37">
        <f t="shared" ca="1" si="49"/>
        <v>1193740.3839999994</v>
      </c>
      <c r="BN113" s="37">
        <f t="shared" ca="1" si="49"/>
        <v>1302257.3439999989</v>
      </c>
      <c r="BO113" s="37">
        <f t="shared" ca="1" si="49"/>
        <v>1421517.855999999</v>
      </c>
      <c r="BP113" s="37">
        <f t="shared" ca="1" si="49"/>
        <v>1552585.5999999994</v>
      </c>
    </row>
    <row r="114" spans="1:68" ht="15" x14ac:dyDescent="0.25">
      <c r="A114" s="4"/>
      <c r="B114" s="4"/>
      <c r="C114" s="4"/>
      <c r="D114" s="31"/>
      <c r="E114" s="30" t="s">
        <v>139</v>
      </c>
      <c r="I114" s="37">
        <f ca="1">I176</f>
        <v>0</v>
      </c>
      <c r="J114" s="37">
        <f t="shared" ref="J114:BP114" ca="1" si="50">J176</f>
        <v>0</v>
      </c>
      <c r="K114" s="37">
        <f t="shared" ca="1" si="50"/>
        <v>0</v>
      </c>
      <c r="L114" s="37">
        <f t="shared" ca="1" si="50"/>
        <v>0</v>
      </c>
      <c r="M114" s="37">
        <f t="shared" ca="1" si="50"/>
        <v>0</v>
      </c>
      <c r="N114" s="37">
        <f t="shared" ca="1" si="50"/>
        <v>0</v>
      </c>
      <c r="O114" s="37">
        <f t="shared" ca="1" si="50"/>
        <v>0</v>
      </c>
      <c r="P114" s="37">
        <f t="shared" ca="1" si="50"/>
        <v>0</v>
      </c>
      <c r="Q114" s="37">
        <f t="shared" ca="1" si="50"/>
        <v>0</v>
      </c>
      <c r="R114" s="37">
        <f t="shared" ca="1" si="50"/>
        <v>0</v>
      </c>
      <c r="S114" s="37">
        <f t="shared" ca="1" si="50"/>
        <v>0</v>
      </c>
      <c r="T114" s="37">
        <f t="shared" ca="1" si="50"/>
        <v>0</v>
      </c>
      <c r="U114" s="37">
        <f t="shared" ca="1" si="50"/>
        <v>0</v>
      </c>
      <c r="V114" s="37">
        <f t="shared" ca="1" si="50"/>
        <v>0</v>
      </c>
      <c r="W114" s="37">
        <f t="shared" ca="1" si="50"/>
        <v>0</v>
      </c>
      <c r="X114" s="37">
        <f t="shared" ca="1" si="50"/>
        <v>0</v>
      </c>
      <c r="Y114" s="37">
        <f t="shared" ca="1" si="50"/>
        <v>0</v>
      </c>
      <c r="Z114" s="37">
        <f t="shared" ca="1" si="50"/>
        <v>0</v>
      </c>
      <c r="AA114" s="37">
        <f t="shared" ca="1" si="50"/>
        <v>0</v>
      </c>
      <c r="AB114" s="37">
        <f t="shared" ca="1" si="50"/>
        <v>0</v>
      </c>
      <c r="AC114" s="37">
        <f t="shared" ca="1" si="50"/>
        <v>0</v>
      </c>
      <c r="AD114" s="37">
        <f t="shared" ca="1" si="50"/>
        <v>0</v>
      </c>
      <c r="AE114" s="37">
        <f t="shared" ca="1" si="50"/>
        <v>0</v>
      </c>
      <c r="AF114" s="37">
        <f t="shared" ca="1" si="50"/>
        <v>0</v>
      </c>
      <c r="AG114" s="37">
        <f t="shared" ca="1" si="50"/>
        <v>0</v>
      </c>
      <c r="AH114" s="37">
        <f t="shared" ca="1" si="50"/>
        <v>0</v>
      </c>
      <c r="AI114" s="37">
        <f t="shared" ca="1" si="50"/>
        <v>0</v>
      </c>
      <c r="AJ114" s="37">
        <f t="shared" ca="1" si="50"/>
        <v>0</v>
      </c>
      <c r="AK114" s="37">
        <f t="shared" ca="1" si="50"/>
        <v>67019.342700233537</v>
      </c>
      <c r="AL114" s="37">
        <f t="shared" ca="1" si="50"/>
        <v>369750.53768576728</v>
      </c>
      <c r="AM114" s="37">
        <f t="shared" ca="1" si="50"/>
        <v>422760.9852901125</v>
      </c>
      <c r="AN114" s="37">
        <f t="shared" ca="1" si="50"/>
        <v>481402.38785515225</v>
      </c>
      <c r="AO114" s="37">
        <f t="shared" ca="1" si="50"/>
        <v>541455.83445167728</v>
      </c>
      <c r="AP114" s="37">
        <f t="shared" ca="1" si="50"/>
        <v>613559.64146740863</v>
      </c>
      <c r="AQ114" s="37">
        <f t="shared" ca="1" si="50"/>
        <v>690310.33917260461</v>
      </c>
      <c r="AR114" s="37">
        <f t="shared" ca="1" si="50"/>
        <v>776622.79310293484</v>
      </c>
      <c r="AS114" s="37">
        <f t="shared" ca="1" si="50"/>
        <v>880300.34622853715</v>
      </c>
      <c r="AT114" s="37">
        <f t="shared" ca="1" si="50"/>
        <v>994571.72208638594</v>
      </c>
      <c r="AU114" s="37">
        <f t="shared" ca="1" si="50"/>
        <v>1120205.96891573</v>
      </c>
      <c r="AV114" s="37">
        <f t="shared" ca="1" si="50"/>
        <v>1258314.8035971862</v>
      </c>
      <c r="AW114" s="37">
        <f t="shared" ca="1" si="50"/>
        <v>1410140.5478376204</v>
      </c>
      <c r="AX114" s="37">
        <f t="shared" ca="1" si="50"/>
        <v>1577044.7785996441</v>
      </c>
      <c r="AY114" s="37">
        <f t="shared" ca="1" si="50"/>
        <v>1760497.7904477434</v>
      </c>
      <c r="AZ114" s="37">
        <f t="shared" ca="1" si="50"/>
        <v>1962159.6177121745</v>
      </c>
      <c r="BA114" s="37">
        <f t="shared" ca="1" si="50"/>
        <v>2183912.8780694315</v>
      </c>
      <c r="BB114" s="37">
        <f t="shared" ca="1" si="50"/>
        <v>2427588.0612102295</v>
      </c>
      <c r="BC114" s="37">
        <f t="shared" ca="1" si="50"/>
        <v>2695440.0028853249</v>
      </c>
      <c r="BD114" s="37">
        <f t="shared" ca="1" si="50"/>
        <v>2989904.7886011153</v>
      </c>
      <c r="BE114" s="37">
        <f t="shared" ca="1" si="50"/>
        <v>4018825.1167840101</v>
      </c>
      <c r="BF114" s="37">
        <f t="shared" ca="1" si="50"/>
        <v>4445474.5181711055</v>
      </c>
      <c r="BG114" s="37">
        <f t="shared" ca="1" si="50"/>
        <v>4914429.8450316461</v>
      </c>
      <c r="BH114" s="37">
        <f t="shared" ca="1" si="50"/>
        <v>5430071.7346823383</v>
      </c>
      <c r="BI114" s="37">
        <f t="shared" ca="1" si="50"/>
        <v>5996957.8524787035</v>
      </c>
      <c r="BJ114" s="37">
        <f t="shared" ca="1" si="50"/>
        <v>6620044.7586788842</v>
      </c>
      <c r="BK114" s="37">
        <f t="shared" ca="1" si="50"/>
        <v>7304816.1302351505</v>
      </c>
      <c r="BL114" s="37">
        <f t="shared" ca="1" si="50"/>
        <v>8057438.8293397706</v>
      </c>
      <c r="BM114" s="37">
        <f t="shared" ca="1" si="50"/>
        <v>8884670.1929431967</v>
      </c>
      <c r="BN114" s="37">
        <f t="shared" ca="1" si="50"/>
        <v>9793795.1352373641</v>
      </c>
      <c r="BO114" s="37">
        <f t="shared" ca="1" si="50"/>
        <v>10793007.256331395</v>
      </c>
      <c r="BP114" s="37">
        <f t="shared" ca="1" si="50"/>
        <v>11891197.801682217</v>
      </c>
    </row>
    <row r="115" spans="1:68" ht="15" x14ac:dyDescent="0.25">
      <c r="A115" s="4"/>
      <c r="B115" s="4"/>
      <c r="C115" s="4"/>
      <c r="D115" s="31" t="s">
        <v>140</v>
      </c>
      <c r="E115" s="30"/>
      <c r="I115" s="53">
        <f ca="1">SUBTOTAL(9,I113:I114)</f>
        <v>3487.194</v>
      </c>
      <c r="J115" s="53">
        <f t="shared" ref="J115:BP115" ca="1" si="51">SUBTOTAL(9,J113:J114)</f>
        <v>5012.7280000000001</v>
      </c>
      <c r="K115" s="53">
        <f t="shared" ca="1" si="51"/>
        <v>9323.844000000001</v>
      </c>
      <c r="L115" s="53">
        <f t="shared" ca="1" si="51"/>
        <v>11977.960666666668</v>
      </c>
      <c r="M115" s="53">
        <f t="shared" ca="1" si="51"/>
        <v>13176.388000000001</v>
      </c>
      <c r="N115" s="53">
        <f t="shared" ca="1" si="51"/>
        <v>15941.107999999995</v>
      </c>
      <c r="O115" s="53">
        <f t="shared" ca="1" si="51"/>
        <v>18999.11066666666</v>
      </c>
      <c r="P115" s="53">
        <f t="shared" ca="1" si="51"/>
        <v>19475.482666666656</v>
      </c>
      <c r="Q115" s="53">
        <f t="shared" ca="1" si="51"/>
        <v>21544.266666666656</v>
      </c>
      <c r="R115" s="53">
        <f t="shared" ca="1" si="51"/>
        <v>24840.019999999993</v>
      </c>
      <c r="S115" s="53">
        <f t="shared" ca="1" si="51"/>
        <v>27958.126666666656</v>
      </c>
      <c r="T115" s="53">
        <f t="shared" ca="1" si="51"/>
        <v>31229.374666666659</v>
      </c>
      <c r="U115" s="53">
        <f t="shared" ca="1" si="51"/>
        <v>34706.80799999999</v>
      </c>
      <c r="V115" s="53">
        <f t="shared" ca="1" si="51"/>
        <v>38650.625333333315</v>
      </c>
      <c r="W115" s="53">
        <f t="shared" ca="1" si="51"/>
        <v>42586.395999999979</v>
      </c>
      <c r="X115" s="53">
        <f t="shared" ca="1" si="51"/>
        <v>46177.765333333307</v>
      </c>
      <c r="Y115" s="53">
        <f t="shared" ca="1" si="51"/>
        <v>51093.11066666666</v>
      </c>
      <c r="Z115" s="53">
        <f t="shared" ca="1" si="51"/>
        <v>56389.513333333321</v>
      </c>
      <c r="AA115" s="53">
        <f t="shared" ca="1" si="51"/>
        <v>61747.842666666642</v>
      </c>
      <c r="AB115" s="53">
        <f t="shared" ca="1" si="51"/>
        <v>68005.031999999948</v>
      </c>
      <c r="AC115" s="53">
        <f t="shared" ca="1" si="51"/>
        <v>77779.785333333275</v>
      </c>
      <c r="AD115" s="53">
        <f t="shared" ca="1" si="51"/>
        <v>87184.72799999993</v>
      </c>
      <c r="AE115" s="53">
        <f t="shared" ca="1" si="51"/>
        <v>98465.429333333261</v>
      </c>
      <c r="AF115" s="53">
        <f t="shared" ca="1" si="51"/>
        <v>113960.9786666666</v>
      </c>
      <c r="AG115" s="53">
        <f t="shared" ca="1" si="51"/>
        <v>111186.39466666659</v>
      </c>
      <c r="AH115" s="53">
        <f t="shared" ca="1" si="51"/>
        <v>117515.13999999993</v>
      </c>
      <c r="AI115" s="53">
        <f t="shared" ca="1" si="51"/>
        <v>125180.24666666656</v>
      </c>
      <c r="AJ115" s="53">
        <f t="shared" ca="1" si="51"/>
        <v>132627.71999999991</v>
      </c>
      <c r="AK115" s="53">
        <f t="shared" ca="1" si="51"/>
        <v>208206.61603356674</v>
      </c>
      <c r="AL115" s="53">
        <f t="shared" ca="1" si="51"/>
        <v>521107.9643524338</v>
      </c>
      <c r="AM115" s="53">
        <f t="shared" ca="1" si="51"/>
        <v>583405.03862344567</v>
      </c>
      <c r="AN115" s="53">
        <f t="shared" ca="1" si="51"/>
        <v>651848.01452181872</v>
      </c>
      <c r="AO115" s="53">
        <f t="shared" ca="1" si="51"/>
        <v>724088.83445167716</v>
      </c>
      <c r="AP115" s="53">
        <f t="shared" ca="1" si="51"/>
        <v>807776.06813407503</v>
      </c>
      <c r="AQ115" s="53">
        <f t="shared" ca="1" si="51"/>
        <v>897811.91917260445</v>
      </c>
      <c r="AR115" s="53">
        <f t="shared" ca="1" si="51"/>
        <v>998227.95976960135</v>
      </c>
      <c r="AS115" s="53">
        <f t="shared" ca="1" si="51"/>
        <v>1115327.666228537</v>
      </c>
      <c r="AT115" s="53">
        <f t="shared" ca="1" si="51"/>
        <v>1243364.4420863858</v>
      </c>
      <c r="AU115" s="53">
        <f t="shared" ca="1" si="51"/>
        <v>1384042.68891573</v>
      </c>
      <c r="AV115" s="53">
        <f t="shared" ca="1" si="51"/>
        <v>1538685.2035971861</v>
      </c>
      <c r="AW115" s="53">
        <f t="shared" ca="1" si="51"/>
        <v>1708681.0278376201</v>
      </c>
      <c r="AX115" s="53">
        <f t="shared" ca="1" si="51"/>
        <v>1895554.1385996437</v>
      </c>
      <c r="AY115" s="53">
        <f t="shared" ca="1" si="51"/>
        <v>2100953.2304477431</v>
      </c>
      <c r="AZ115" s="53">
        <f t="shared" ca="1" si="51"/>
        <v>2326733.4577121739</v>
      </c>
      <c r="BA115" s="53">
        <f t="shared" ca="1" si="51"/>
        <v>2574992.9580694311</v>
      </c>
      <c r="BB115" s="53">
        <f t="shared" ca="1" si="51"/>
        <v>2847798.541210229</v>
      </c>
      <c r="BC115" s="53">
        <f t="shared" ca="1" si="51"/>
        <v>3147665.0428853245</v>
      </c>
      <c r="BD115" s="53">
        <f t="shared" ca="1" si="51"/>
        <v>3477313.2686011149</v>
      </c>
      <c r="BE115" s="53">
        <f t="shared" ca="1" si="51"/>
        <v>4623559.9727840098</v>
      </c>
      <c r="BF115" s="53">
        <f t="shared" ca="1" si="51"/>
        <v>5109162.4221711047</v>
      </c>
      <c r="BG115" s="53">
        <f t="shared" ca="1" si="51"/>
        <v>5634159.9570316458</v>
      </c>
      <c r="BH115" s="53">
        <f t="shared" ca="1" si="51"/>
        <v>6211392.374682338</v>
      </c>
      <c r="BI115" s="53">
        <f t="shared" ca="1" si="51"/>
        <v>6845966.2684787028</v>
      </c>
      <c r="BJ115" s="53">
        <f t="shared" ca="1" si="51"/>
        <v>7543442.2306788834</v>
      </c>
      <c r="BK115" s="53">
        <f t="shared" ca="1" si="51"/>
        <v>8309967.1062351502</v>
      </c>
      <c r="BL115" s="53">
        <f t="shared" ca="1" si="51"/>
        <v>9152437.3573397696</v>
      </c>
      <c r="BM115" s="53">
        <f t="shared" ca="1" si="51"/>
        <v>10078410.576943196</v>
      </c>
      <c r="BN115" s="53">
        <f t="shared" ca="1" si="51"/>
        <v>11096052.479237363</v>
      </c>
      <c r="BO115" s="53">
        <f t="shared" ca="1" si="51"/>
        <v>12214525.112331394</v>
      </c>
      <c r="BP115" s="53">
        <f t="shared" ca="1" si="51"/>
        <v>13443783.401682217</v>
      </c>
    </row>
    <row r="116" spans="1:68" ht="15" x14ac:dyDescent="0.25">
      <c r="A116" s="4"/>
      <c r="B116" s="4"/>
      <c r="C116" s="4"/>
      <c r="D116" s="31"/>
      <c r="E116" s="30"/>
      <c r="I116" s="37"/>
      <c r="J116" s="37"/>
      <c r="K116" s="37"/>
      <c r="L116" s="37"/>
      <c r="M116" s="37"/>
      <c r="N116" s="37"/>
      <c r="O116" s="37"/>
      <c r="P116" s="37"/>
      <c r="Q116" s="37"/>
      <c r="R116" s="37"/>
      <c r="S116" s="37"/>
      <c r="T116" s="37"/>
      <c r="U116" s="37"/>
      <c r="V116" s="37"/>
      <c r="W116" s="37"/>
      <c r="X116" s="37"/>
      <c r="Y116" s="37"/>
      <c r="Z116" s="37"/>
      <c r="AA116" s="37"/>
      <c r="AB116" s="37"/>
      <c r="AC116" s="37"/>
      <c r="AD116" s="37"/>
      <c r="AE116" s="37"/>
      <c r="AF116" s="37"/>
      <c r="AG116" s="37"/>
      <c r="AH116" s="37"/>
      <c r="AI116" s="37"/>
      <c r="AJ116" s="37"/>
      <c r="AK116" s="37"/>
      <c r="AL116" s="37"/>
      <c r="AM116" s="37"/>
      <c r="AN116" s="37"/>
      <c r="AO116" s="37"/>
      <c r="AP116" s="37"/>
      <c r="AQ116" s="37"/>
      <c r="AR116" s="37"/>
      <c r="AS116" s="37"/>
      <c r="AT116" s="37"/>
      <c r="AU116" s="37"/>
      <c r="AV116" s="37"/>
      <c r="AW116" s="37"/>
      <c r="AX116" s="37"/>
      <c r="AY116" s="37"/>
      <c r="AZ116" s="37"/>
      <c r="BA116" s="37"/>
      <c r="BB116" s="37"/>
      <c r="BC116" s="37"/>
      <c r="BD116" s="37"/>
      <c r="BE116" s="37"/>
      <c r="BF116" s="37"/>
      <c r="BG116" s="37"/>
      <c r="BH116" s="37"/>
      <c r="BI116" s="37"/>
      <c r="BJ116" s="37"/>
      <c r="BK116" s="37"/>
      <c r="BL116" s="37"/>
      <c r="BM116" s="37"/>
      <c r="BN116" s="37"/>
      <c r="BO116" s="37"/>
      <c r="BP116" s="37"/>
    </row>
    <row r="117" spans="1:68" ht="15" x14ac:dyDescent="0.25">
      <c r="A117" s="4"/>
      <c r="B117" s="4"/>
      <c r="C117" s="4"/>
      <c r="D117" s="31" t="s">
        <v>141</v>
      </c>
      <c r="E117" s="30"/>
      <c r="I117" s="37"/>
      <c r="J117" s="37"/>
      <c r="K117" s="37"/>
      <c r="L117" s="37"/>
      <c r="M117" s="37"/>
      <c r="N117" s="37"/>
      <c r="O117" s="37"/>
      <c r="P117" s="37"/>
      <c r="Q117" s="37"/>
      <c r="R117" s="37"/>
      <c r="S117" s="37"/>
      <c r="T117" s="37"/>
      <c r="U117" s="37"/>
      <c r="V117" s="37"/>
      <c r="W117" s="37"/>
      <c r="X117" s="37"/>
      <c r="Y117" s="37"/>
      <c r="Z117" s="37"/>
      <c r="AA117" s="37"/>
      <c r="AB117" s="37"/>
      <c r="AC117" s="37"/>
      <c r="AD117" s="37"/>
      <c r="AE117" s="37"/>
      <c r="AF117" s="37"/>
      <c r="AG117" s="37"/>
      <c r="AH117" s="37"/>
      <c r="AI117" s="37"/>
      <c r="AJ117" s="37"/>
      <c r="AK117" s="37"/>
      <c r="AL117" s="37"/>
      <c r="AM117" s="37"/>
      <c r="AN117" s="37"/>
      <c r="AO117" s="37"/>
      <c r="AP117" s="37"/>
      <c r="AQ117" s="37"/>
      <c r="AR117" s="37"/>
      <c r="AS117" s="37"/>
      <c r="AT117" s="37"/>
      <c r="AU117" s="37"/>
      <c r="AV117" s="37"/>
      <c r="AW117" s="37"/>
      <c r="AX117" s="37"/>
      <c r="AY117" s="37"/>
      <c r="AZ117" s="37"/>
      <c r="BA117" s="37"/>
      <c r="BB117" s="37"/>
      <c r="BC117" s="37"/>
      <c r="BD117" s="37"/>
      <c r="BE117" s="37"/>
      <c r="BF117" s="37"/>
      <c r="BG117" s="37"/>
      <c r="BH117" s="37"/>
      <c r="BI117" s="37"/>
      <c r="BJ117" s="37"/>
      <c r="BK117" s="37"/>
      <c r="BL117" s="37"/>
      <c r="BM117" s="37"/>
      <c r="BN117" s="37"/>
      <c r="BO117" s="37"/>
      <c r="BP117" s="37"/>
    </row>
    <row r="118" spans="1:68" ht="15" x14ac:dyDescent="0.25">
      <c r="A118" s="4"/>
      <c r="B118" s="4"/>
      <c r="C118" s="4"/>
      <c r="D118" s="31"/>
      <c r="E118" s="30" t="s">
        <v>142</v>
      </c>
      <c r="I118" s="37">
        <f ca="1">I184</f>
        <v>0</v>
      </c>
      <c r="J118" s="37">
        <f t="shared" ref="J118:BP118" ca="1" si="52">J184</f>
        <v>0</v>
      </c>
      <c r="K118" s="37">
        <f t="shared" ca="1" si="52"/>
        <v>1000000</v>
      </c>
      <c r="L118" s="37">
        <f t="shared" ca="1" si="52"/>
        <v>974195.76956200122</v>
      </c>
      <c r="M118" s="37">
        <f t="shared" ca="1" si="52"/>
        <v>948284.02149717743</v>
      </c>
      <c r="N118" s="37">
        <f t="shared" ca="1" si="52"/>
        <v>922264.30781541683</v>
      </c>
      <c r="O118" s="37">
        <f t="shared" ca="1" si="52"/>
        <v>896136.17865998228</v>
      </c>
      <c r="P118" s="37">
        <f t="shared" ca="1" si="52"/>
        <v>869899.18229973339</v>
      </c>
      <c r="Q118" s="37">
        <f t="shared" ca="1" si="52"/>
        <v>843552.86512131686</v>
      </c>
      <c r="R118" s="37">
        <f t="shared" ca="1" si="52"/>
        <v>817096.77162132354</v>
      </c>
      <c r="S118" s="37">
        <f t="shared" ca="1" si="52"/>
        <v>790530.44439841353</v>
      </c>
      <c r="T118" s="37">
        <f t="shared" ca="1" si="52"/>
        <v>763853.42414540809</v>
      </c>
      <c r="U118" s="37">
        <f t="shared" ca="1" si="52"/>
        <v>737065.24964134849</v>
      </c>
      <c r="V118" s="37">
        <f t="shared" ca="1" si="52"/>
        <v>710165.45774352201</v>
      </c>
      <c r="W118" s="37">
        <f t="shared" ca="1" si="52"/>
        <v>683153.58337945456</v>
      </c>
      <c r="X118" s="37">
        <f t="shared" ca="1" si="52"/>
        <v>656029.1595388701</v>
      </c>
      <c r="Y118" s="37">
        <f t="shared" ca="1" si="52"/>
        <v>628791.71726561664</v>
      </c>
      <c r="Z118" s="37">
        <f t="shared" ca="1" si="52"/>
        <v>601440.78564955795</v>
      </c>
      <c r="AA118" s="37">
        <f t="shared" ca="1" si="52"/>
        <v>573975.89181843225</v>
      </c>
      <c r="AB118" s="37">
        <f t="shared" ca="1" si="52"/>
        <v>546396.56092967687</v>
      </c>
      <c r="AC118" s="37">
        <f t="shared" ca="1" si="52"/>
        <v>518702.3161622184</v>
      </c>
      <c r="AD118" s="37">
        <f t="shared" ca="1" si="52"/>
        <v>490892.67870822881</v>
      </c>
      <c r="AE118" s="37">
        <f t="shared" ca="1" si="52"/>
        <v>462967.16776484763</v>
      </c>
      <c r="AF118" s="37">
        <f t="shared" ca="1" si="52"/>
        <v>434925.30052586901</v>
      </c>
      <c r="AG118" s="37">
        <f t="shared" ca="1" si="52"/>
        <v>406766.59217339463</v>
      </c>
      <c r="AH118" s="37">
        <f t="shared" ca="1" si="52"/>
        <v>378490.55586945161</v>
      </c>
      <c r="AI118" s="37">
        <f t="shared" ca="1" si="52"/>
        <v>350096.70274757553</v>
      </c>
      <c r="AJ118" s="37">
        <f t="shared" ca="1" si="52"/>
        <v>321584.54190435831</v>
      </c>
      <c r="AK118" s="37">
        <f t="shared" ca="1" si="52"/>
        <v>292953.58039096097</v>
      </c>
      <c r="AL118" s="37">
        <f t="shared" ca="1" si="52"/>
        <v>264203.32320459117</v>
      </c>
      <c r="AM118" s="37">
        <f t="shared" ca="1" si="52"/>
        <v>235333.27327994481</v>
      </c>
      <c r="AN118" s="37">
        <f t="shared" ca="1" si="52"/>
        <v>206342.93148061243</v>
      </c>
      <c r="AO118" s="37">
        <f t="shared" ca="1" si="52"/>
        <v>177231.79659044952</v>
      </c>
      <c r="AP118" s="37">
        <f t="shared" ca="1" si="52"/>
        <v>147999.36530491093</v>
      </c>
      <c r="AQ118" s="37">
        <f t="shared" ca="1" si="52"/>
        <v>118645.13222234925</v>
      </c>
      <c r="AR118" s="37">
        <f t="shared" ca="1" si="52"/>
        <v>89168.589835276885</v>
      </c>
      <c r="AS118" s="37">
        <f t="shared" ca="1" si="52"/>
        <v>59569.228521591729</v>
      </c>
      <c r="AT118" s="37">
        <f t="shared" ca="1" si="52"/>
        <v>29846.536535766219</v>
      </c>
      <c r="AU118" s="37">
        <f t="shared" ca="1" si="52"/>
        <v>-2.3283064365386963E-10</v>
      </c>
      <c r="AV118" s="37">
        <f t="shared" ca="1" si="52"/>
        <v>-2.3380077133576075E-10</v>
      </c>
      <c r="AW118" s="37">
        <f t="shared" ca="1" si="52"/>
        <v>-2.3477494121632643E-10</v>
      </c>
      <c r="AX118" s="37">
        <f t="shared" ca="1" si="52"/>
        <v>-2.3575317013806114E-10</v>
      </c>
      <c r="AY118" s="37">
        <f t="shared" ca="1" si="52"/>
        <v>-2.3673547501363639E-10</v>
      </c>
      <c r="AZ118" s="37">
        <f t="shared" ca="1" si="52"/>
        <v>-2.3772187282619319E-10</v>
      </c>
      <c r="BA118" s="37">
        <f t="shared" ca="1" si="52"/>
        <v>-2.3871238062963566E-10</v>
      </c>
      <c r="BB118" s="37">
        <f t="shared" ca="1" si="52"/>
        <v>-2.3970701554892582E-10</v>
      </c>
      <c r="BC118" s="37">
        <f t="shared" ca="1" si="52"/>
        <v>-2.4070579478037969E-10</v>
      </c>
      <c r="BD118" s="37">
        <f t="shared" ca="1" si="52"/>
        <v>-2.417087355919646E-10</v>
      </c>
      <c r="BE118" s="37">
        <f t="shared" ca="1" si="52"/>
        <v>-2.4271585532359777E-10</v>
      </c>
      <c r="BF118" s="37">
        <f t="shared" ca="1" si="52"/>
        <v>-2.4372717138744607E-10</v>
      </c>
      <c r="BG118" s="37">
        <f t="shared" ca="1" si="52"/>
        <v>-2.4474270126822712E-10</v>
      </c>
      <c r="BH118" s="37">
        <f t="shared" ca="1" si="52"/>
        <v>-2.4576246252351142E-10</v>
      </c>
      <c r="BI118" s="37">
        <f t="shared" ca="1" si="52"/>
        <v>-2.4678647278402604E-10</v>
      </c>
      <c r="BJ118" s="37">
        <f t="shared" ca="1" si="52"/>
        <v>-2.4781474975395948E-10</v>
      </c>
      <c r="BK118" s="37">
        <f t="shared" ca="1" si="52"/>
        <v>-2.4884731121126765E-10</v>
      </c>
      <c r="BL118" s="37">
        <f t="shared" ca="1" si="52"/>
        <v>-2.4988417500798127E-10</v>
      </c>
      <c r="BM118" s="37">
        <f t="shared" ca="1" si="52"/>
        <v>-2.5092535907051451E-10</v>
      </c>
      <c r="BN118" s="37">
        <f t="shared" ca="1" si="52"/>
        <v>-2.5197088139997496E-10</v>
      </c>
      <c r="BO118" s="37">
        <f t="shared" ca="1" si="52"/>
        <v>-2.5302076007247487E-10</v>
      </c>
      <c r="BP118" s="37">
        <f t="shared" ca="1" si="52"/>
        <v>-2.5407501323944351E-10</v>
      </c>
    </row>
    <row r="119" spans="1:68" ht="15" x14ac:dyDescent="0.25">
      <c r="A119" s="4"/>
      <c r="B119" s="4"/>
      <c r="C119" s="4"/>
      <c r="D119" s="31" t="s">
        <v>143</v>
      </c>
      <c r="E119" s="30"/>
      <c r="I119" s="53">
        <f ca="1">SUBTOTAL(9,I118)</f>
        <v>0</v>
      </c>
      <c r="J119" s="53">
        <f t="shared" ref="J119:BP119" ca="1" si="53">SUBTOTAL(9,J118)</f>
        <v>0</v>
      </c>
      <c r="K119" s="53">
        <f t="shared" ca="1" si="53"/>
        <v>1000000</v>
      </c>
      <c r="L119" s="53">
        <f t="shared" ca="1" si="53"/>
        <v>974195.76956200122</v>
      </c>
      <c r="M119" s="53">
        <f t="shared" ca="1" si="53"/>
        <v>948284.02149717743</v>
      </c>
      <c r="N119" s="53">
        <f t="shared" ca="1" si="53"/>
        <v>922264.30781541683</v>
      </c>
      <c r="O119" s="53">
        <f t="shared" ca="1" si="53"/>
        <v>896136.17865998228</v>
      </c>
      <c r="P119" s="53">
        <f t="shared" ca="1" si="53"/>
        <v>869899.18229973339</v>
      </c>
      <c r="Q119" s="53">
        <f t="shared" ca="1" si="53"/>
        <v>843552.86512131686</v>
      </c>
      <c r="R119" s="53">
        <f t="shared" ca="1" si="53"/>
        <v>817096.77162132354</v>
      </c>
      <c r="S119" s="53">
        <f t="shared" ca="1" si="53"/>
        <v>790530.44439841353</v>
      </c>
      <c r="T119" s="53">
        <f t="shared" ca="1" si="53"/>
        <v>763853.42414540809</v>
      </c>
      <c r="U119" s="53">
        <f t="shared" ca="1" si="53"/>
        <v>737065.24964134849</v>
      </c>
      <c r="V119" s="53">
        <f t="shared" ca="1" si="53"/>
        <v>710165.45774352201</v>
      </c>
      <c r="W119" s="53">
        <f t="shared" ca="1" si="53"/>
        <v>683153.58337945456</v>
      </c>
      <c r="X119" s="53">
        <f t="shared" ca="1" si="53"/>
        <v>656029.1595388701</v>
      </c>
      <c r="Y119" s="53">
        <f t="shared" ca="1" si="53"/>
        <v>628791.71726561664</v>
      </c>
      <c r="Z119" s="53">
        <f t="shared" ca="1" si="53"/>
        <v>601440.78564955795</v>
      </c>
      <c r="AA119" s="53">
        <f t="shared" ca="1" si="53"/>
        <v>573975.89181843225</v>
      </c>
      <c r="AB119" s="53">
        <f t="shared" ca="1" si="53"/>
        <v>546396.56092967687</v>
      </c>
      <c r="AC119" s="53">
        <f t="shared" ca="1" si="53"/>
        <v>518702.3161622184</v>
      </c>
      <c r="AD119" s="53">
        <f t="shared" ca="1" si="53"/>
        <v>490892.67870822881</v>
      </c>
      <c r="AE119" s="53">
        <f t="shared" ca="1" si="53"/>
        <v>462967.16776484763</v>
      </c>
      <c r="AF119" s="53">
        <f t="shared" ca="1" si="53"/>
        <v>434925.30052586901</v>
      </c>
      <c r="AG119" s="53">
        <f t="shared" ca="1" si="53"/>
        <v>406766.59217339463</v>
      </c>
      <c r="AH119" s="53">
        <f t="shared" ca="1" si="53"/>
        <v>378490.55586945161</v>
      </c>
      <c r="AI119" s="53">
        <f t="shared" ca="1" si="53"/>
        <v>350096.70274757553</v>
      </c>
      <c r="AJ119" s="53">
        <f t="shared" ca="1" si="53"/>
        <v>321584.54190435831</v>
      </c>
      <c r="AK119" s="53">
        <f t="shared" ca="1" si="53"/>
        <v>292953.58039096097</v>
      </c>
      <c r="AL119" s="53">
        <f t="shared" ca="1" si="53"/>
        <v>264203.32320459117</v>
      </c>
      <c r="AM119" s="53">
        <f t="shared" ca="1" si="53"/>
        <v>235333.27327994481</v>
      </c>
      <c r="AN119" s="53">
        <f t="shared" ca="1" si="53"/>
        <v>206342.93148061243</v>
      </c>
      <c r="AO119" s="53">
        <f t="shared" ca="1" si="53"/>
        <v>177231.79659044952</v>
      </c>
      <c r="AP119" s="53">
        <f t="shared" ca="1" si="53"/>
        <v>147999.36530491093</v>
      </c>
      <c r="AQ119" s="53">
        <f t="shared" ca="1" si="53"/>
        <v>118645.13222234925</v>
      </c>
      <c r="AR119" s="53">
        <f t="shared" ca="1" si="53"/>
        <v>89168.589835276885</v>
      </c>
      <c r="AS119" s="53">
        <f t="shared" ca="1" si="53"/>
        <v>59569.228521591729</v>
      </c>
      <c r="AT119" s="53">
        <f t="shared" ca="1" si="53"/>
        <v>29846.536535766219</v>
      </c>
      <c r="AU119" s="53">
        <f t="shared" ca="1" si="53"/>
        <v>-2.3283064365386963E-10</v>
      </c>
      <c r="AV119" s="53">
        <f t="shared" ca="1" si="53"/>
        <v>-2.3380077133576075E-10</v>
      </c>
      <c r="AW119" s="53">
        <f t="shared" ca="1" si="53"/>
        <v>-2.3477494121632643E-10</v>
      </c>
      <c r="AX119" s="53">
        <f t="shared" ca="1" si="53"/>
        <v>-2.3575317013806114E-10</v>
      </c>
      <c r="AY119" s="53">
        <f t="shared" ca="1" si="53"/>
        <v>-2.3673547501363639E-10</v>
      </c>
      <c r="AZ119" s="53">
        <f t="shared" ca="1" si="53"/>
        <v>-2.3772187282619319E-10</v>
      </c>
      <c r="BA119" s="53">
        <f t="shared" ca="1" si="53"/>
        <v>-2.3871238062963566E-10</v>
      </c>
      <c r="BB119" s="53">
        <f t="shared" ca="1" si="53"/>
        <v>-2.3970701554892582E-10</v>
      </c>
      <c r="BC119" s="53">
        <f t="shared" ca="1" si="53"/>
        <v>-2.4070579478037969E-10</v>
      </c>
      <c r="BD119" s="53">
        <f t="shared" ca="1" si="53"/>
        <v>-2.417087355919646E-10</v>
      </c>
      <c r="BE119" s="53">
        <f t="shared" ca="1" si="53"/>
        <v>-2.4271585532359777E-10</v>
      </c>
      <c r="BF119" s="53">
        <f t="shared" ca="1" si="53"/>
        <v>-2.4372717138744607E-10</v>
      </c>
      <c r="BG119" s="53">
        <f t="shared" ca="1" si="53"/>
        <v>-2.4474270126822712E-10</v>
      </c>
      <c r="BH119" s="53">
        <f t="shared" ca="1" si="53"/>
        <v>-2.4576246252351142E-10</v>
      </c>
      <c r="BI119" s="53">
        <f t="shared" ca="1" si="53"/>
        <v>-2.4678647278402604E-10</v>
      </c>
      <c r="BJ119" s="53">
        <f t="shared" ca="1" si="53"/>
        <v>-2.4781474975395948E-10</v>
      </c>
      <c r="BK119" s="53">
        <f t="shared" ca="1" si="53"/>
        <v>-2.4884731121126765E-10</v>
      </c>
      <c r="BL119" s="53">
        <f t="shared" ca="1" si="53"/>
        <v>-2.4988417500798127E-10</v>
      </c>
      <c r="BM119" s="53">
        <f t="shared" ca="1" si="53"/>
        <v>-2.5092535907051451E-10</v>
      </c>
      <c r="BN119" s="53">
        <f t="shared" ca="1" si="53"/>
        <v>-2.5197088139997496E-10</v>
      </c>
      <c r="BO119" s="53">
        <f t="shared" ca="1" si="53"/>
        <v>-2.5302076007247487E-10</v>
      </c>
      <c r="BP119" s="53">
        <f t="shared" ca="1" si="53"/>
        <v>-2.5407501323944351E-10</v>
      </c>
    </row>
    <row r="120" spans="1:68" ht="15" x14ac:dyDescent="0.25">
      <c r="A120" s="4"/>
      <c r="B120" s="4"/>
      <c r="C120" s="4"/>
      <c r="D120" s="30"/>
      <c r="E120" s="30"/>
      <c r="I120" s="37"/>
      <c r="J120" s="37"/>
      <c r="K120" s="37"/>
      <c r="L120" s="37"/>
      <c r="M120" s="37"/>
      <c r="N120" s="37"/>
      <c r="O120" s="37"/>
      <c r="P120" s="37"/>
      <c r="Q120" s="37"/>
      <c r="R120" s="37"/>
      <c r="S120" s="37"/>
      <c r="T120" s="37"/>
      <c r="U120" s="37"/>
      <c r="V120" s="37"/>
      <c r="W120" s="37"/>
      <c r="X120" s="37"/>
      <c r="Y120" s="37"/>
      <c r="Z120" s="37"/>
      <c r="AA120" s="37"/>
      <c r="AB120" s="37"/>
      <c r="AC120" s="37"/>
      <c r="AD120" s="37"/>
      <c r="AE120" s="37"/>
      <c r="AF120" s="37"/>
      <c r="AG120" s="37"/>
      <c r="AH120" s="37"/>
      <c r="AI120" s="37"/>
      <c r="AJ120" s="37"/>
      <c r="AK120" s="37"/>
      <c r="AL120" s="37"/>
      <c r="AM120" s="37"/>
      <c r="AN120" s="37"/>
      <c r="AO120" s="37"/>
      <c r="AP120" s="37"/>
      <c r="AQ120" s="37"/>
      <c r="AR120" s="37"/>
      <c r="AS120" s="37"/>
      <c r="AT120" s="37"/>
      <c r="AU120" s="37"/>
      <c r="AV120" s="37"/>
      <c r="AW120" s="37"/>
      <c r="AX120" s="37"/>
      <c r="AY120" s="37"/>
      <c r="AZ120" s="37"/>
      <c r="BA120" s="37"/>
      <c r="BB120" s="37"/>
      <c r="BC120" s="37"/>
      <c r="BD120" s="37"/>
      <c r="BE120" s="37"/>
      <c r="BF120" s="37"/>
      <c r="BG120" s="37"/>
      <c r="BH120" s="37"/>
      <c r="BI120" s="37"/>
      <c r="BJ120" s="37"/>
      <c r="BK120" s="37"/>
      <c r="BL120" s="37"/>
      <c r="BM120" s="37"/>
      <c r="BN120" s="37"/>
      <c r="BO120" s="37"/>
      <c r="BP120" s="37"/>
    </row>
    <row r="121" spans="1:68" ht="15" x14ac:dyDescent="0.25">
      <c r="A121" s="31"/>
      <c r="B121" s="31"/>
      <c r="C121" s="31" t="s">
        <v>56</v>
      </c>
      <c r="E121" s="30"/>
      <c r="I121" s="53">
        <f ca="1">SUBTOTAL(9,I111:I120)</f>
        <v>3487.194</v>
      </c>
      <c r="J121" s="53">
        <f t="shared" ref="J121:BP121" ca="1" si="54">SUBTOTAL(9,J111:J120)</f>
        <v>5012.7280000000001</v>
      </c>
      <c r="K121" s="53">
        <f t="shared" ca="1" si="54"/>
        <v>1009323.844</v>
      </c>
      <c r="L121" s="53">
        <f t="shared" ca="1" si="54"/>
        <v>986173.73022866785</v>
      </c>
      <c r="M121" s="53">
        <f t="shared" ca="1" si="54"/>
        <v>961460.40949717746</v>
      </c>
      <c r="N121" s="53">
        <f t="shared" ca="1" si="54"/>
        <v>938205.41581541684</v>
      </c>
      <c r="O121" s="53">
        <f t="shared" ca="1" si="54"/>
        <v>915135.28932664893</v>
      </c>
      <c r="P121" s="53">
        <f t="shared" ca="1" si="54"/>
        <v>889374.66496640001</v>
      </c>
      <c r="Q121" s="53">
        <f t="shared" ca="1" si="54"/>
        <v>865097.13178798347</v>
      </c>
      <c r="R121" s="53">
        <f t="shared" ca="1" si="54"/>
        <v>841936.79162132356</v>
      </c>
      <c r="S121" s="53">
        <f t="shared" ca="1" si="54"/>
        <v>818488.57106508024</v>
      </c>
      <c r="T121" s="53">
        <f t="shared" ca="1" si="54"/>
        <v>795082.7988120747</v>
      </c>
      <c r="U121" s="53">
        <f t="shared" ca="1" si="54"/>
        <v>771772.05764134845</v>
      </c>
      <c r="V121" s="53">
        <f t="shared" ca="1" si="54"/>
        <v>748816.08307685528</v>
      </c>
      <c r="W121" s="53">
        <f t="shared" ca="1" si="54"/>
        <v>725739.97937945451</v>
      </c>
      <c r="X121" s="53">
        <f t="shared" ca="1" si="54"/>
        <v>702206.92487220338</v>
      </c>
      <c r="Y121" s="53">
        <f t="shared" ca="1" si="54"/>
        <v>679884.82793228328</v>
      </c>
      <c r="Z121" s="53">
        <f t="shared" ca="1" si="54"/>
        <v>657830.29898289125</v>
      </c>
      <c r="AA121" s="53">
        <f t="shared" ca="1" si="54"/>
        <v>635723.73448509886</v>
      </c>
      <c r="AB121" s="53">
        <f t="shared" ca="1" si="54"/>
        <v>614401.59292967687</v>
      </c>
      <c r="AC121" s="53">
        <f t="shared" ca="1" si="54"/>
        <v>596482.10149555164</v>
      </c>
      <c r="AD121" s="53">
        <f t="shared" ca="1" si="54"/>
        <v>578077.40670822875</v>
      </c>
      <c r="AE121" s="53">
        <f t="shared" ca="1" si="54"/>
        <v>561432.59709818091</v>
      </c>
      <c r="AF121" s="53">
        <f t="shared" ca="1" si="54"/>
        <v>548886.27919253567</v>
      </c>
      <c r="AG121" s="53">
        <f t="shared" ca="1" si="54"/>
        <v>517952.9868400612</v>
      </c>
      <c r="AH121" s="53">
        <f t="shared" ca="1" si="54"/>
        <v>496005.69586945151</v>
      </c>
      <c r="AI121" s="53">
        <f t="shared" ca="1" si="54"/>
        <v>475276.94941424206</v>
      </c>
      <c r="AJ121" s="53">
        <f t="shared" ca="1" si="54"/>
        <v>454212.26190435822</v>
      </c>
      <c r="AK121" s="53">
        <f t="shared" ca="1" si="54"/>
        <v>501160.19642452768</v>
      </c>
      <c r="AL121" s="53">
        <f t="shared" ca="1" si="54"/>
        <v>785311.28755702497</v>
      </c>
      <c r="AM121" s="53">
        <f t="shared" ca="1" si="54"/>
        <v>818738.31190339045</v>
      </c>
      <c r="AN121" s="53">
        <f t="shared" ca="1" si="54"/>
        <v>858190.94600243121</v>
      </c>
      <c r="AO121" s="53">
        <f t="shared" ca="1" si="54"/>
        <v>901320.63104212668</v>
      </c>
      <c r="AP121" s="53">
        <f t="shared" ca="1" si="54"/>
        <v>955775.43343898596</v>
      </c>
      <c r="AQ121" s="53">
        <f t="shared" ca="1" si="54"/>
        <v>1016457.0513949537</v>
      </c>
      <c r="AR121" s="53">
        <f t="shared" ca="1" si="54"/>
        <v>1087396.5496048783</v>
      </c>
      <c r="AS121" s="53">
        <f t="shared" ca="1" si="54"/>
        <v>1174896.8947501287</v>
      </c>
      <c r="AT121" s="53">
        <f t="shared" ca="1" si="54"/>
        <v>1273210.978622152</v>
      </c>
      <c r="AU121" s="53">
        <f t="shared" ca="1" si="54"/>
        <v>1384042.6889157298</v>
      </c>
      <c r="AV121" s="53">
        <f t="shared" ca="1" si="54"/>
        <v>1538685.2035971859</v>
      </c>
      <c r="AW121" s="53">
        <f t="shared" ca="1" si="54"/>
        <v>1708681.0278376199</v>
      </c>
      <c r="AX121" s="53">
        <f t="shared" ca="1" si="54"/>
        <v>1895554.1385996435</v>
      </c>
      <c r="AY121" s="53">
        <f t="shared" ca="1" si="54"/>
        <v>2100953.2304477426</v>
      </c>
      <c r="AZ121" s="53">
        <f t="shared" ca="1" si="54"/>
        <v>2326733.4577121735</v>
      </c>
      <c r="BA121" s="53">
        <f t="shared" ca="1" si="54"/>
        <v>2574992.9580694307</v>
      </c>
      <c r="BB121" s="53">
        <f t="shared" ca="1" si="54"/>
        <v>2847798.5412102286</v>
      </c>
      <c r="BC121" s="53">
        <f t="shared" ca="1" si="54"/>
        <v>3147665.042885324</v>
      </c>
      <c r="BD121" s="53">
        <f t="shared" ca="1" si="54"/>
        <v>3477313.2686011144</v>
      </c>
      <c r="BE121" s="53">
        <f t="shared" ca="1" si="54"/>
        <v>4623559.9727840098</v>
      </c>
      <c r="BF121" s="53">
        <f t="shared" ca="1" si="54"/>
        <v>5109162.4221711047</v>
      </c>
      <c r="BG121" s="53">
        <f t="shared" ca="1" si="54"/>
        <v>5634159.9570316458</v>
      </c>
      <c r="BH121" s="53">
        <f t="shared" ca="1" si="54"/>
        <v>6211392.374682338</v>
      </c>
      <c r="BI121" s="53">
        <f t="shared" ca="1" si="54"/>
        <v>6845966.2684787028</v>
      </c>
      <c r="BJ121" s="53">
        <f t="shared" ca="1" si="54"/>
        <v>7543442.2306788834</v>
      </c>
      <c r="BK121" s="53">
        <f t="shared" ca="1" si="54"/>
        <v>8309967.1062351502</v>
      </c>
      <c r="BL121" s="53">
        <f t="shared" ca="1" si="54"/>
        <v>9152437.3573397696</v>
      </c>
      <c r="BM121" s="53">
        <f t="shared" ca="1" si="54"/>
        <v>10078410.576943196</v>
      </c>
      <c r="BN121" s="53">
        <f t="shared" ca="1" si="54"/>
        <v>11096052.479237363</v>
      </c>
      <c r="BO121" s="53">
        <f t="shared" ca="1" si="54"/>
        <v>12214525.112331394</v>
      </c>
      <c r="BP121" s="53">
        <f t="shared" ca="1" si="54"/>
        <v>13443783.401682217</v>
      </c>
    </row>
    <row r="122" spans="1:68" ht="15" x14ac:dyDescent="0.25">
      <c r="A122" s="30"/>
      <c r="B122" s="30"/>
      <c r="C122" s="30"/>
      <c r="D122" s="30"/>
    </row>
    <row r="123" spans="1:68" ht="15.75" thickBot="1" x14ac:dyDescent="0.3">
      <c r="A123" s="43"/>
      <c r="B123" s="43"/>
      <c r="C123" s="43" t="s">
        <v>57</v>
      </c>
      <c r="D123" s="43"/>
      <c r="E123" s="43"/>
      <c r="F123" s="43"/>
      <c r="G123" s="43"/>
      <c r="H123" s="43"/>
      <c r="I123" s="44">
        <f ca="1">I109-I121</f>
        <v>980338.34239083331</v>
      </c>
      <c r="J123" s="44">
        <f t="shared" ref="J123:BP123" ca="1" si="55">J109-J121</f>
        <v>949218.10474933439</v>
      </c>
      <c r="K123" s="44">
        <f t="shared" ca="1" si="55"/>
        <v>876963.7315181864</v>
      </c>
      <c r="L123" s="44">
        <f t="shared" ca="1" si="55"/>
        <v>780426.16141489241</v>
      </c>
      <c r="M123" s="44">
        <f t="shared" ca="1" si="55"/>
        <v>675540.17465403583</v>
      </c>
      <c r="N123" s="44">
        <f t="shared" ca="1" si="55"/>
        <v>545179.05717119121</v>
      </c>
      <c r="O123" s="44">
        <f t="shared" ca="1" si="55"/>
        <v>388749.57256280049</v>
      </c>
      <c r="P123" s="44">
        <f t="shared" ca="1" si="55"/>
        <v>234240.48414250812</v>
      </c>
      <c r="Q123" s="44">
        <f t="shared" ca="1" si="55"/>
        <v>63097.012131801806</v>
      </c>
      <c r="R123" s="44">
        <f t="shared" ca="1" si="55"/>
        <v>-133916.63932228647</v>
      </c>
      <c r="S123" s="44">
        <f t="shared" ca="1" si="55"/>
        <v>-351121.20397819765</v>
      </c>
      <c r="T123" s="44">
        <f t="shared" ca="1" si="55"/>
        <v>-587964.95502261864</v>
      </c>
      <c r="U123" s="44">
        <f t="shared" ca="1" si="55"/>
        <v>-836847.55753132887</v>
      </c>
      <c r="V123" s="44">
        <f t="shared" ca="1" si="55"/>
        <v>-1104544.5084293312</v>
      </c>
      <c r="W123" s="44">
        <f t="shared" ca="1" si="55"/>
        <v>-1384086.7031142237</v>
      </c>
      <c r="X123" s="44">
        <f t="shared" ca="1" si="55"/>
        <v>-1664737.603426134</v>
      </c>
      <c r="Y123" s="44">
        <f t="shared" ca="1" si="55"/>
        <v>-1950930.0035806482</v>
      </c>
      <c r="Z123" s="44">
        <f t="shared" ca="1" si="55"/>
        <v>-2231679.5118928128</v>
      </c>
      <c r="AA123" s="44">
        <f t="shared" ca="1" si="55"/>
        <v>-2491019.0701203593</v>
      </c>
      <c r="AB123" s="44">
        <f t="shared" ca="1" si="55"/>
        <v>-2716503.7330786474</v>
      </c>
      <c r="AC123" s="44">
        <f t="shared" ca="1" si="55"/>
        <v>-2914906.5616131173</v>
      </c>
      <c r="AD123" s="44">
        <f t="shared" ca="1" si="55"/>
        <v>-3042359.9394697482</v>
      </c>
      <c r="AE123" s="44">
        <f t="shared" ca="1" si="55"/>
        <v>-3071546.7664952893</v>
      </c>
      <c r="AF123" s="44">
        <f t="shared" ca="1" si="55"/>
        <v>-2981683.2011689483</v>
      </c>
      <c r="AG123" s="44">
        <f t="shared" ca="1" si="55"/>
        <v>-2358888.2219920326</v>
      </c>
      <c r="AH123" s="44">
        <f t="shared" ca="1" si="55"/>
        <v>-1643509.2163425023</v>
      </c>
      <c r="AI123" s="44">
        <f t="shared" ca="1" si="55"/>
        <v>-819253.65423662937</v>
      </c>
      <c r="AJ123" s="44">
        <f t="shared" ca="1" si="55"/>
        <v>133683.5431119643</v>
      </c>
      <c r="AK123" s="44">
        <f t="shared" ca="1" si="55"/>
        <v>1156378.4663005439</v>
      </c>
      <c r="AL123" s="44">
        <f t="shared" ca="1" si="55"/>
        <v>2019129.7209006678</v>
      </c>
      <c r="AM123" s="44">
        <f t="shared" ca="1" si="55"/>
        <v>3005572.0199109302</v>
      </c>
      <c r="AN123" s="44">
        <f t="shared" ca="1" si="55"/>
        <v>4128844.2582396194</v>
      </c>
      <c r="AO123" s="44">
        <f t="shared" ca="1" si="55"/>
        <v>5392241.2052935334</v>
      </c>
      <c r="AP123" s="44">
        <f t="shared" ca="1" si="55"/>
        <v>6823880.368717487</v>
      </c>
      <c r="AQ123" s="44">
        <f t="shared" ca="1" si="55"/>
        <v>8434604.4934535641</v>
      </c>
      <c r="AR123" s="44">
        <f t="shared" ca="1" si="55"/>
        <v>10246724.34402708</v>
      </c>
      <c r="AS123" s="44">
        <f t="shared" ca="1" si="55"/>
        <v>12300758.485226998</v>
      </c>
      <c r="AT123" s="44">
        <f t="shared" ca="1" si="55"/>
        <v>14621425.836761899</v>
      </c>
      <c r="AU123" s="44">
        <f t="shared" ca="1" si="55"/>
        <v>17235239.764231935</v>
      </c>
      <c r="AV123" s="44">
        <f t="shared" ca="1" si="55"/>
        <v>20171307.639292043</v>
      </c>
      <c r="AW123" s="44">
        <f t="shared" ca="1" si="55"/>
        <v>23461635.58424649</v>
      </c>
      <c r="AX123" s="44">
        <f t="shared" ca="1" si="55"/>
        <v>27141406.734312326</v>
      </c>
      <c r="AY123" s="44">
        <f t="shared" ca="1" si="55"/>
        <v>31249234.912023731</v>
      </c>
      <c r="AZ123" s="44">
        <f t="shared" ca="1" si="55"/>
        <v>35827607.353352144</v>
      </c>
      <c r="BA123" s="44">
        <f t="shared" ca="1" si="55"/>
        <v>40923404.068847485</v>
      </c>
      <c r="BB123" s="44">
        <f t="shared" ca="1" si="55"/>
        <v>46587776.211671352</v>
      </c>
      <c r="BC123" s="44">
        <f t="shared" ca="1" si="55"/>
        <v>52877136.218403772</v>
      </c>
      <c r="BD123" s="44">
        <f t="shared" ca="1" si="55"/>
        <v>59853580.725139715</v>
      </c>
      <c r="BE123" s="44">
        <f t="shared" ca="1" si="55"/>
        <v>69230839.33096908</v>
      </c>
      <c r="BF123" s="44">
        <f t="shared" ca="1" si="55"/>
        <v>79603613.206701651</v>
      </c>
      <c r="BG123" s="44">
        <f t="shared" ca="1" si="55"/>
        <v>91070616.17844215</v>
      </c>
      <c r="BH123" s="44">
        <f t="shared" ca="1" si="55"/>
        <v>103740783.55936761</v>
      </c>
      <c r="BI123" s="44">
        <f t="shared" ca="1" si="55"/>
        <v>117733685.21515127</v>
      </c>
      <c r="BJ123" s="44">
        <f t="shared" ca="1" si="55"/>
        <v>133180456.31873533</v>
      </c>
      <c r="BK123" s="44">
        <f t="shared" ca="1" si="55"/>
        <v>150225027.28928399</v>
      </c>
      <c r="BL123" s="44">
        <f t="shared" ca="1" si="55"/>
        <v>169025717.89107677</v>
      </c>
      <c r="BM123" s="44">
        <f t="shared" ca="1" si="55"/>
        <v>189756615.00794426</v>
      </c>
      <c r="BN123" s="44">
        <f t="shared" ca="1" si="55"/>
        <v>212608803.65683144</v>
      </c>
      <c r="BO123" s="44">
        <f t="shared" ca="1" si="55"/>
        <v>237792487.25493801</v>
      </c>
      <c r="BP123" s="44">
        <f t="shared" ca="1" si="55"/>
        <v>265538615.45886317</v>
      </c>
    </row>
    <row r="124" spans="1:68" ht="15.75" thickTop="1" x14ac:dyDescent="0.25">
      <c r="A124" s="30"/>
      <c r="B124" s="30"/>
      <c r="C124" s="30"/>
      <c r="D124" s="30"/>
    </row>
    <row r="125" spans="1:68" ht="15" x14ac:dyDescent="0.25">
      <c r="A125" s="31"/>
      <c r="B125" s="31"/>
      <c r="C125" s="31" t="s">
        <v>144</v>
      </c>
      <c r="D125" s="30"/>
    </row>
    <row r="126" spans="1:68" ht="15" x14ac:dyDescent="0.25">
      <c r="A126" s="30"/>
      <c r="B126" s="30"/>
      <c r="C126" s="30"/>
      <c r="D126" s="30" t="s">
        <v>58</v>
      </c>
      <c r="I126" s="55">
        <f ca="1">I195</f>
        <v>1000000</v>
      </c>
      <c r="J126" s="55">
        <f t="shared" ref="J126:BP126" ca="1" si="56">J195</f>
        <v>1000000</v>
      </c>
      <c r="K126" s="55">
        <f t="shared" ca="1" si="56"/>
        <v>1000000</v>
      </c>
      <c r="L126" s="55">
        <f t="shared" ca="1" si="56"/>
        <v>1000000</v>
      </c>
      <c r="M126" s="55">
        <f t="shared" ca="1" si="56"/>
        <v>1000000</v>
      </c>
      <c r="N126" s="55">
        <f t="shared" ca="1" si="56"/>
        <v>1000000</v>
      </c>
      <c r="O126" s="55">
        <f t="shared" ca="1" si="56"/>
        <v>1000000</v>
      </c>
      <c r="P126" s="55">
        <f t="shared" ca="1" si="56"/>
        <v>1000000</v>
      </c>
      <c r="Q126" s="55">
        <f t="shared" ca="1" si="56"/>
        <v>1000000</v>
      </c>
      <c r="R126" s="55">
        <f t="shared" ca="1" si="56"/>
        <v>1000000</v>
      </c>
      <c r="S126" s="55">
        <f t="shared" ca="1" si="56"/>
        <v>1000000</v>
      </c>
      <c r="T126" s="55">
        <f t="shared" ca="1" si="56"/>
        <v>1000000</v>
      </c>
      <c r="U126" s="55">
        <f t="shared" ca="1" si="56"/>
        <v>1000000</v>
      </c>
      <c r="V126" s="55">
        <f t="shared" ca="1" si="56"/>
        <v>1000000</v>
      </c>
      <c r="W126" s="55">
        <f t="shared" ca="1" si="56"/>
        <v>1000000</v>
      </c>
      <c r="X126" s="55">
        <f t="shared" ca="1" si="56"/>
        <v>1000000</v>
      </c>
      <c r="Y126" s="55">
        <f t="shared" ca="1" si="56"/>
        <v>1000000</v>
      </c>
      <c r="Z126" s="55">
        <f t="shared" ca="1" si="56"/>
        <v>1000000</v>
      </c>
      <c r="AA126" s="55">
        <f t="shared" ca="1" si="56"/>
        <v>1000000</v>
      </c>
      <c r="AB126" s="55">
        <f t="shared" ca="1" si="56"/>
        <v>1000000</v>
      </c>
      <c r="AC126" s="55">
        <f t="shared" ca="1" si="56"/>
        <v>1000000</v>
      </c>
      <c r="AD126" s="55">
        <f t="shared" ca="1" si="56"/>
        <v>1000000</v>
      </c>
      <c r="AE126" s="55">
        <f t="shared" ca="1" si="56"/>
        <v>1000000</v>
      </c>
      <c r="AF126" s="55">
        <f t="shared" ca="1" si="56"/>
        <v>1000000</v>
      </c>
      <c r="AG126" s="55">
        <f t="shared" ca="1" si="56"/>
        <v>1000000</v>
      </c>
      <c r="AH126" s="55">
        <f t="shared" ca="1" si="56"/>
        <v>1000000</v>
      </c>
      <c r="AI126" s="55">
        <f t="shared" ca="1" si="56"/>
        <v>1000000</v>
      </c>
      <c r="AJ126" s="55">
        <f t="shared" ca="1" si="56"/>
        <v>1000000</v>
      </c>
      <c r="AK126" s="55">
        <f t="shared" ca="1" si="56"/>
        <v>1000000</v>
      </c>
      <c r="AL126" s="55">
        <f t="shared" ca="1" si="56"/>
        <v>1000000</v>
      </c>
      <c r="AM126" s="55">
        <f t="shared" ca="1" si="56"/>
        <v>1000000</v>
      </c>
      <c r="AN126" s="55">
        <f t="shared" ca="1" si="56"/>
        <v>1000000</v>
      </c>
      <c r="AO126" s="55">
        <f t="shared" ca="1" si="56"/>
        <v>1000000</v>
      </c>
      <c r="AP126" s="55">
        <f t="shared" ca="1" si="56"/>
        <v>1000000</v>
      </c>
      <c r="AQ126" s="55">
        <f t="shared" ca="1" si="56"/>
        <v>1000000</v>
      </c>
      <c r="AR126" s="55">
        <f t="shared" ca="1" si="56"/>
        <v>1000000</v>
      </c>
      <c r="AS126" s="55">
        <f t="shared" ca="1" si="56"/>
        <v>1000000</v>
      </c>
      <c r="AT126" s="55">
        <f t="shared" ca="1" si="56"/>
        <v>1000000</v>
      </c>
      <c r="AU126" s="55">
        <f t="shared" ca="1" si="56"/>
        <v>1000000</v>
      </c>
      <c r="AV126" s="55">
        <f t="shared" ca="1" si="56"/>
        <v>1000000</v>
      </c>
      <c r="AW126" s="55">
        <f t="shared" ca="1" si="56"/>
        <v>1000000</v>
      </c>
      <c r="AX126" s="55">
        <f t="shared" ca="1" si="56"/>
        <v>1000000</v>
      </c>
      <c r="AY126" s="55">
        <f t="shared" ca="1" si="56"/>
        <v>1000000</v>
      </c>
      <c r="AZ126" s="55">
        <f t="shared" ca="1" si="56"/>
        <v>1000000</v>
      </c>
      <c r="BA126" s="55">
        <f t="shared" ca="1" si="56"/>
        <v>1000000</v>
      </c>
      <c r="BB126" s="55">
        <f t="shared" ca="1" si="56"/>
        <v>1000000</v>
      </c>
      <c r="BC126" s="55">
        <f t="shared" ca="1" si="56"/>
        <v>1000000</v>
      </c>
      <c r="BD126" s="55">
        <f t="shared" ca="1" si="56"/>
        <v>1000000</v>
      </c>
      <c r="BE126" s="55">
        <f t="shared" ca="1" si="56"/>
        <v>1000000</v>
      </c>
      <c r="BF126" s="55">
        <f t="shared" ca="1" si="56"/>
        <v>1000000</v>
      </c>
      <c r="BG126" s="55">
        <f t="shared" ca="1" si="56"/>
        <v>1000000</v>
      </c>
      <c r="BH126" s="55">
        <f t="shared" ca="1" si="56"/>
        <v>1000000</v>
      </c>
      <c r="BI126" s="55">
        <f t="shared" ca="1" si="56"/>
        <v>1000000</v>
      </c>
      <c r="BJ126" s="55">
        <f t="shared" ca="1" si="56"/>
        <v>1000000</v>
      </c>
      <c r="BK126" s="55">
        <f t="shared" ca="1" si="56"/>
        <v>1000000</v>
      </c>
      <c r="BL126" s="55">
        <f t="shared" ca="1" si="56"/>
        <v>1000000</v>
      </c>
      <c r="BM126" s="55">
        <f t="shared" ca="1" si="56"/>
        <v>1000000</v>
      </c>
      <c r="BN126" s="55">
        <f t="shared" ca="1" si="56"/>
        <v>1000000</v>
      </c>
      <c r="BO126" s="55">
        <f t="shared" ca="1" si="56"/>
        <v>1000000</v>
      </c>
      <c r="BP126" s="55">
        <f t="shared" ca="1" si="56"/>
        <v>1000000</v>
      </c>
    </row>
    <row r="127" spans="1:68" ht="15" x14ac:dyDescent="0.25">
      <c r="A127" s="30"/>
      <c r="B127" s="30"/>
      <c r="C127" s="30"/>
      <c r="D127" s="30" t="s">
        <v>145</v>
      </c>
      <c r="I127" s="55">
        <f ca="1">I201</f>
        <v>-19661.657609166668</v>
      </c>
      <c r="J127" s="55">
        <f t="shared" ref="J127:BP127" ca="1" si="57">J201</f>
        <v>-50781.895250665628</v>
      </c>
      <c r="K127" s="55">
        <f t="shared" ca="1" si="57"/>
        <v>-123036.2684818134</v>
      </c>
      <c r="L127" s="55">
        <f t="shared" ca="1" si="57"/>
        <v>-219573.83858510744</v>
      </c>
      <c r="M127" s="55">
        <f t="shared" ca="1" si="57"/>
        <v>-324459.82534596382</v>
      </c>
      <c r="N127" s="55">
        <f t="shared" ca="1" si="57"/>
        <v>-454820.94282880868</v>
      </c>
      <c r="O127" s="55">
        <f t="shared" ca="1" si="57"/>
        <v>-611250.4274371994</v>
      </c>
      <c r="P127" s="55">
        <f t="shared" ca="1" si="57"/>
        <v>-765759.51585749164</v>
      </c>
      <c r="Q127" s="55">
        <f t="shared" ca="1" si="57"/>
        <v>-936902.98786819808</v>
      </c>
      <c r="R127" s="55">
        <f t="shared" ca="1" si="57"/>
        <v>-1133916.6393222862</v>
      </c>
      <c r="S127" s="55">
        <f t="shared" ca="1" si="57"/>
        <v>-1351121.2039781974</v>
      </c>
      <c r="T127" s="55">
        <f t="shared" ca="1" si="57"/>
        <v>-1587964.9550226186</v>
      </c>
      <c r="U127" s="55">
        <f t="shared" ca="1" si="57"/>
        <v>-1836847.5575313289</v>
      </c>
      <c r="V127" s="55">
        <f t="shared" ca="1" si="57"/>
        <v>-2104544.5084293312</v>
      </c>
      <c r="W127" s="55">
        <f t="shared" ca="1" si="57"/>
        <v>-2384086.7031142237</v>
      </c>
      <c r="X127" s="55">
        <f t="shared" ca="1" si="57"/>
        <v>-2664737.6034261342</v>
      </c>
      <c r="Y127" s="55">
        <f t="shared" ca="1" si="57"/>
        <v>-2950930.0035806485</v>
      </c>
      <c r="Z127" s="55">
        <f t="shared" ca="1" si="57"/>
        <v>-3231679.5118928128</v>
      </c>
      <c r="AA127" s="55">
        <f t="shared" ca="1" si="57"/>
        <v>-3491019.0701203593</v>
      </c>
      <c r="AB127" s="55">
        <f t="shared" ca="1" si="57"/>
        <v>-3716503.7330786469</v>
      </c>
      <c r="AC127" s="55">
        <f t="shared" ca="1" si="57"/>
        <v>-3914906.5616131173</v>
      </c>
      <c r="AD127" s="55">
        <f t="shared" ca="1" si="57"/>
        <v>-4042359.9394697472</v>
      </c>
      <c r="AE127" s="55">
        <f t="shared" ca="1" si="57"/>
        <v>-4071546.7664952883</v>
      </c>
      <c r="AF127" s="55">
        <f t="shared" ca="1" si="57"/>
        <v>-3981683.2011689479</v>
      </c>
      <c r="AG127" s="55">
        <f t="shared" ca="1" si="57"/>
        <v>-3358888.2219920317</v>
      </c>
      <c r="AH127" s="55">
        <f t="shared" ca="1" si="57"/>
        <v>-2643509.2163425013</v>
      </c>
      <c r="AI127" s="55">
        <f t="shared" ca="1" si="57"/>
        <v>-1819253.6542366282</v>
      </c>
      <c r="AJ127" s="55">
        <f t="shared" ca="1" si="57"/>
        <v>-866316.45688803447</v>
      </c>
      <c r="AK127" s="55">
        <f t="shared" ca="1" si="57"/>
        <v>156378.46630054491</v>
      </c>
      <c r="AL127" s="55">
        <f t="shared" ca="1" si="57"/>
        <v>1019129.7209006689</v>
      </c>
      <c r="AM127" s="55">
        <f t="shared" ca="1" si="57"/>
        <v>2005572.0199109316</v>
      </c>
      <c r="AN127" s="55">
        <f t="shared" ca="1" si="57"/>
        <v>3128844.2582396204</v>
      </c>
      <c r="AO127" s="55">
        <f t="shared" ca="1" si="57"/>
        <v>4392241.2052935343</v>
      </c>
      <c r="AP127" s="55">
        <f t="shared" ca="1" si="57"/>
        <v>5823880.3687174879</v>
      </c>
      <c r="AQ127" s="55">
        <f t="shared" ca="1" si="57"/>
        <v>7434604.493453566</v>
      </c>
      <c r="AR127" s="55">
        <f t="shared" ca="1" si="57"/>
        <v>9246724.3440270815</v>
      </c>
      <c r="AS127" s="55">
        <f t="shared" ca="1" si="57"/>
        <v>11300758.485227002</v>
      </c>
      <c r="AT127" s="55">
        <f t="shared" ca="1" si="57"/>
        <v>13621425.836761903</v>
      </c>
      <c r="AU127" s="55">
        <f t="shared" ca="1" si="57"/>
        <v>16235239.764231941</v>
      </c>
      <c r="AV127" s="55">
        <f t="shared" ca="1" si="57"/>
        <v>19171307.639292043</v>
      </c>
      <c r="AW127" s="55">
        <f t="shared" ca="1" si="57"/>
        <v>22461635.58424649</v>
      </c>
      <c r="AX127" s="55">
        <f t="shared" ca="1" si="57"/>
        <v>26141406.734312326</v>
      </c>
      <c r="AY127" s="55">
        <f t="shared" ca="1" si="57"/>
        <v>30249234.912023727</v>
      </c>
      <c r="AZ127" s="55">
        <f t="shared" ca="1" si="57"/>
        <v>34827607.353352137</v>
      </c>
      <c r="BA127" s="55">
        <f t="shared" ca="1" si="57"/>
        <v>39923404.068847477</v>
      </c>
      <c r="BB127" s="55">
        <f t="shared" ca="1" si="57"/>
        <v>45587776.211671345</v>
      </c>
      <c r="BC127" s="55">
        <f t="shared" ca="1" si="57"/>
        <v>51877136.218403772</v>
      </c>
      <c r="BD127" s="55">
        <f t="shared" ca="1" si="57"/>
        <v>58853580.725139707</v>
      </c>
      <c r="BE127" s="55">
        <f t="shared" ca="1" si="57"/>
        <v>68230839.330969065</v>
      </c>
      <c r="BF127" s="55">
        <f t="shared" ca="1" si="57"/>
        <v>78603613.206701651</v>
      </c>
      <c r="BG127" s="55">
        <f t="shared" ca="1" si="57"/>
        <v>90070616.178442165</v>
      </c>
      <c r="BH127" s="55">
        <f t="shared" ca="1" si="57"/>
        <v>102740783.55936763</v>
      </c>
      <c r="BI127" s="55">
        <f t="shared" ca="1" si="57"/>
        <v>116733685.21515127</v>
      </c>
      <c r="BJ127" s="55">
        <f t="shared" ca="1" si="57"/>
        <v>132180456.31873533</v>
      </c>
      <c r="BK127" s="55">
        <f t="shared" ca="1" si="57"/>
        <v>149225027.28928402</v>
      </c>
      <c r="BL127" s="55">
        <f t="shared" ca="1" si="57"/>
        <v>168025717.8910768</v>
      </c>
      <c r="BM127" s="55">
        <f t="shared" ca="1" si="57"/>
        <v>188756615.00794426</v>
      </c>
      <c r="BN127" s="55">
        <f t="shared" ca="1" si="57"/>
        <v>211608803.65683144</v>
      </c>
      <c r="BO127" s="55">
        <f t="shared" ca="1" si="57"/>
        <v>236792487.25493804</v>
      </c>
      <c r="BP127" s="55">
        <f t="shared" ca="1" si="57"/>
        <v>264538615.4588632</v>
      </c>
    </row>
    <row r="128" spans="1:68" ht="15.75" thickBot="1" x14ac:dyDescent="0.3">
      <c r="A128" s="43"/>
      <c r="B128" s="43"/>
      <c r="C128" s="43" t="s">
        <v>146</v>
      </c>
      <c r="D128" s="43"/>
      <c r="E128" s="43"/>
      <c r="F128" s="43"/>
      <c r="G128" s="43"/>
      <c r="H128" s="43"/>
      <c r="I128" s="44">
        <f t="shared" ref="I128:AN128" ca="1" si="58">SUM(I126:I127)</f>
        <v>980338.34239083331</v>
      </c>
      <c r="J128" s="44">
        <f t="shared" ca="1" si="58"/>
        <v>949218.10474933439</v>
      </c>
      <c r="K128" s="44">
        <f t="shared" ca="1" si="58"/>
        <v>876963.73151818663</v>
      </c>
      <c r="L128" s="44">
        <f t="shared" ca="1" si="58"/>
        <v>780426.16141489253</v>
      </c>
      <c r="M128" s="44">
        <f t="shared" ca="1" si="58"/>
        <v>675540.17465403618</v>
      </c>
      <c r="N128" s="44">
        <f t="shared" ca="1" si="58"/>
        <v>545179.05717119132</v>
      </c>
      <c r="O128" s="44">
        <f t="shared" ca="1" si="58"/>
        <v>388749.5725628006</v>
      </c>
      <c r="P128" s="44">
        <f t="shared" ca="1" si="58"/>
        <v>234240.48414250836</v>
      </c>
      <c r="Q128" s="44">
        <f t="shared" ca="1" si="58"/>
        <v>63097.012131801923</v>
      </c>
      <c r="R128" s="44">
        <f t="shared" ca="1" si="58"/>
        <v>-133916.63932228624</v>
      </c>
      <c r="S128" s="44">
        <f t="shared" ca="1" si="58"/>
        <v>-351121.20397819742</v>
      </c>
      <c r="T128" s="44">
        <f t="shared" ca="1" si="58"/>
        <v>-587964.95502261864</v>
      </c>
      <c r="U128" s="44">
        <f t="shared" ca="1" si="58"/>
        <v>-836847.55753132887</v>
      </c>
      <c r="V128" s="44">
        <f t="shared" ca="1" si="58"/>
        <v>-1104544.5084293312</v>
      </c>
      <c r="W128" s="44">
        <f t="shared" ca="1" si="58"/>
        <v>-1384086.7031142237</v>
      </c>
      <c r="X128" s="44">
        <f t="shared" ca="1" si="58"/>
        <v>-1664737.6034261342</v>
      </c>
      <c r="Y128" s="44">
        <f t="shared" ca="1" si="58"/>
        <v>-1950930.0035806485</v>
      </c>
      <c r="Z128" s="44">
        <f t="shared" ca="1" si="58"/>
        <v>-2231679.5118928128</v>
      </c>
      <c r="AA128" s="44">
        <f t="shared" ca="1" si="58"/>
        <v>-2491019.0701203593</v>
      </c>
      <c r="AB128" s="44">
        <f t="shared" ca="1" si="58"/>
        <v>-2716503.7330786469</v>
      </c>
      <c r="AC128" s="44">
        <f t="shared" ca="1" si="58"/>
        <v>-2914906.5616131173</v>
      </c>
      <c r="AD128" s="44">
        <f t="shared" ca="1" si="58"/>
        <v>-3042359.9394697472</v>
      </c>
      <c r="AE128" s="44">
        <f t="shared" ca="1" si="58"/>
        <v>-3071546.7664952883</v>
      </c>
      <c r="AF128" s="44">
        <f t="shared" ca="1" si="58"/>
        <v>-2981683.2011689479</v>
      </c>
      <c r="AG128" s="44">
        <f t="shared" ca="1" si="58"/>
        <v>-2358888.2219920317</v>
      </c>
      <c r="AH128" s="44">
        <f t="shared" ca="1" si="58"/>
        <v>-1643509.2163425013</v>
      </c>
      <c r="AI128" s="44">
        <f t="shared" ca="1" si="58"/>
        <v>-819253.65423662821</v>
      </c>
      <c r="AJ128" s="44">
        <f t="shared" ca="1" si="58"/>
        <v>133683.54311196553</v>
      </c>
      <c r="AK128" s="44">
        <f t="shared" ca="1" si="58"/>
        <v>1156378.4663005448</v>
      </c>
      <c r="AL128" s="44">
        <f t="shared" ca="1" si="58"/>
        <v>2019129.7209006688</v>
      </c>
      <c r="AM128" s="44">
        <f t="shared" ca="1" si="58"/>
        <v>3005572.0199109316</v>
      </c>
      <c r="AN128" s="44">
        <f t="shared" ca="1" si="58"/>
        <v>4128844.2582396204</v>
      </c>
      <c r="AO128" s="44">
        <f t="shared" ref="AO128:BP128" ca="1" si="59">SUM(AO126:AO127)</f>
        <v>5392241.2052935343</v>
      </c>
      <c r="AP128" s="44">
        <f t="shared" ca="1" si="59"/>
        <v>6823880.3687174879</v>
      </c>
      <c r="AQ128" s="44">
        <f t="shared" ca="1" si="59"/>
        <v>8434604.493453566</v>
      </c>
      <c r="AR128" s="44">
        <f t="shared" ca="1" si="59"/>
        <v>10246724.344027082</v>
      </c>
      <c r="AS128" s="44">
        <f t="shared" ca="1" si="59"/>
        <v>12300758.485227002</v>
      </c>
      <c r="AT128" s="44">
        <f t="shared" ca="1" si="59"/>
        <v>14621425.836761903</v>
      </c>
      <c r="AU128" s="44">
        <f t="shared" ca="1" si="59"/>
        <v>17235239.764231943</v>
      </c>
      <c r="AV128" s="44">
        <f t="shared" ca="1" si="59"/>
        <v>20171307.639292043</v>
      </c>
      <c r="AW128" s="44">
        <f t="shared" ca="1" si="59"/>
        <v>23461635.58424649</v>
      </c>
      <c r="AX128" s="44">
        <f t="shared" ca="1" si="59"/>
        <v>27141406.734312326</v>
      </c>
      <c r="AY128" s="44">
        <f t="shared" ca="1" si="59"/>
        <v>31249234.912023727</v>
      </c>
      <c r="AZ128" s="44">
        <f t="shared" ca="1" si="59"/>
        <v>35827607.353352137</v>
      </c>
      <c r="BA128" s="44">
        <f t="shared" ca="1" si="59"/>
        <v>40923404.068847477</v>
      </c>
      <c r="BB128" s="44">
        <f t="shared" ca="1" si="59"/>
        <v>46587776.211671345</v>
      </c>
      <c r="BC128" s="44">
        <f t="shared" ca="1" si="59"/>
        <v>52877136.218403772</v>
      </c>
      <c r="BD128" s="44">
        <f t="shared" ca="1" si="59"/>
        <v>59853580.725139707</v>
      </c>
      <c r="BE128" s="44">
        <f t="shared" ca="1" si="59"/>
        <v>69230839.330969065</v>
      </c>
      <c r="BF128" s="44">
        <f t="shared" ca="1" si="59"/>
        <v>79603613.206701651</v>
      </c>
      <c r="BG128" s="44">
        <f t="shared" ca="1" si="59"/>
        <v>91070616.178442165</v>
      </c>
      <c r="BH128" s="44">
        <f t="shared" ca="1" si="59"/>
        <v>103740783.55936763</v>
      </c>
      <c r="BI128" s="44">
        <f t="shared" ca="1" si="59"/>
        <v>117733685.21515127</v>
      </c>
      <c r="BJ128" s="44">
        <f t="shared" ca="1" si="59"/>
        <v>133180456.31873533</v>
      </c>
      <c r="BK128" s="44">
        <f t="shared" ca="1" si="59"/>
        <v>150225027.28928402</v>
      </c>
      <c r="BL128" s="44">
        <f t="shared" ca="1" si="59"/>
        <v>169025717.8910768</v>
      </c>
      <c r="BM128" s="44">
        <f t="shared" ca="1" si="59"/>
        <v>189756615.00794426</v>
      </c>
      <c r="BN128" s="44">
        <f t="shared" ca="1" si="59"/>
        <v>212608803.65683144</v>
      </c>
      <c r="BO128" s="44">
        <f t="shared" ca="1" si="59"/>
        <v>237792487.25493804</v>
      </c>
      <c r="BP128" s="44">
        <f t="shared" ca="1" si="59"/>
        <v>265538615.4588632</v>
      </c>
    </row>
    <row r="129" spans="1:68" ht="15.75" thickTop="1" x14ac:dyDescent="0.25">
      <c r="A129" s="30"/>
      <c r="B129" s="30"/>
      <c r="C129" s="30"/>
      <c r="D129" s="30"/>
    </row>
    <row r="130" spans="1:68" s="3" customFormat="1" ht="11.25" x14ac:dyDescent="0.2">
      <c r="C130" s="3" t="s">
        <v>147</v>
      </c>
      <c r="H130" s="80" t="b">
        <f ca="1">COUNTIF(rngSource,"OK")=COUNTA(rngSource)</f>
        <v>1</v>
      </c>
      <c r="I130" s="85" t="str">
        <f ca="1">IF(ROUND(I123-I128,0)=0,"OK",I128-I123)</f>
        <v>OK</v>
      </c>
      <c r="J130" s="85" t="str">
        <f t="shared" ref="J130:BP130" ca="1" si="60">IF(ROUND(J123-J128,0)=0,"OK",J128-J123)</f>
        <v>OK</v>
      </c>
      <c r="K130" s="85" t="str">
        <f t="shared" ca="1" si="60"/>
        <v>OK</v>
      </c>
      <c r="L130" s="85" t="str">
        <f t="shared" ca="1" si="60"/>
        <v>OK</v>
      </c>
      <c r="M130" s="85" t="str">
        <f t="shared" ca="1" si="60"/>
        <v>OK</v>
      </c>
      <c r="N130" s="85" t="str">
        <f t="shared" ca="1" si="60"/>
        <v>OK</v>
      </c>
      <c r="O130" s="85" t="str">
        <f t="shared" ca="1" si="60"/>
        <v>OK</v>
      </c>
      <c r="P130" s="85" t="str">
        <f t="shared" ca="1" si="60"/>
        <v>OK</v>
      </c>
      <c r="Q130" s="85" t="str">
        <f t="shared" ca="1" si="60"/>
        <v>OK</v>
      </c>
      <c r="R130" s="85" t="str">
        <f t="shared" ca="1" si="60"/>
        <v>OK</v>
      </c>
      <c r="S130" s="85" t="str">
        <f t="shared" ca="1" si="60"/>
        <v>OK</v>
      </c>
      <c r="T130" s="85" t="str">
        <f t="shared" ca="1" si="60"/>
        <v>OK</v>
      </c>
      <c r="U130" s="85" t="str">
        <f t="shared" ca="1" si="60"/>
        <v>OK</v>
      </c>
      <c r="V130" s="85" t="str">
        <f t="shared" ca="1" si="60"/>
        <v>OK</v>
      </c>
      <c r="W130" s="85" t="str">
        <f t="shared" ca="1" si="60"/>
        <v>OK</v>
      </c>
      <c r="X130" s="85" t="str">
        <f t="shared" ca="1" si="60"/>
        <v>OK</v>
      </c>
      <c r="Y130" s="85" t="str">
        <f t="shared" ca="1" si="60"/>
        <v>OK</v>
      </c>
      <c r="Z130" s="85" t="str">
        <f t="shared" ca="1" si="60"/>
        <v>OK</v>
      </c>
      <c r="AA130" s="85" t="str">
        <f t="shared" ca="1" si="60"/>
        <v>OK</v>
      </c>
      <c r="AB130" s="85" t="str">
        <f t="shared" ca="1" si="60"/>
        <v>OK</v>
      </c>
      <c r="AC130" s="85" t="str">
        <f t="shared" ca="1" si="60"/>
        <v>OK</v>
      </c>
      <c r="AD130" s="85" t="str">
        <f t="shared" ca="1" si="60"/>
        <v>OK</v>
      </c>
      <c r="AE130" s="85" t="str">
        <f t="shared" ca="1" si="60"/>
        <v>OK</v>
      </c>
      <c r="AF130" s="85" t="str">
        <f t="shared" ca="1" si="60"/>
        <v>OK</v>
      </c>
      <c r="AG130" s="85" t="str">
        <f t="shared" ca="1" si="60"/>
        <v>OK</v>
      </c>
      <c r="AH130" s="85" t="str">
        <f t="shared" ca="1" si="60"/>
        <v>OK</v>
      </c>
      <c r="AI130" s="85" t="str">
        <f t="shared" ca="1" si="60"/>
        <v>OK</v>
      </c>
      <c r="AJ130" s="85" t="str">
        <f t="shared" ca="1" si="60"/>
        <v>OK</v>
      </c>
      <c r="AK130" s="85" t="str">
        <f t="shared" ca="1" si="60"/>
        <v>OK</v>
      </c>
      <c r="AL130" s="85" t="str">
        <f t="shared" ca="1" si="60"/>
        <v>OK</v>
      </c>
      <c r="AM130" s="85" t="str">
        <f t="shared" ca="1" si="60"/>
        <v>OK</v>
      </c>
      <c r="AN130" s="85" t="str">
        <f t="shared" ca="1" si="60"/>
        <v>OK</v>
      </c>
      <c r="AO130" s="85" t="str">
        <f t="shared" ca="1" si="60"/>
        <v>OK</v>
      </c>
      <c r="AP130" s="85" t="str">
        <f t="shared" ca="1" si="60"/>
        <v>OK</v>
      </c>
      <c r="AQ130" s="85" t="str">
        <f t="shared" ca="1" si="60"/>
        <v>OK</v>
      </c>
      <c r="AR130" s="85" t="str">
        <f t="shared" ca="1" si="60"/>
        <v>OK</v>
      </c>
      <c r="AS130" s="85" t="str">
        <f t="shared" ca="1" si="60"/>
        <v>OK</v>
      </c>
      <c r="AT130" s="85" t="str">
        <f t="shared" ca="1" si="60"/>
        <v>OK</v>
      </c>
      <c r="AU130" s="85" t="str">
        <f t="shared" ca="1" si="60"/>
        <v>OK</v>
      </c>
      <c r="AV130" s="85" t="str">
        <f t="shared" ca="1" si="60"/>
        <v>OK</v>
      </c>
      <c r="AW130" s="85" t="str">
        <f t="shared" ca="1" si="60"/>
        <v>OK</v>
      </c>
      <c r="AX130" s="85" t="str">
        <f t="shared" ca="1" si="60"/>
        <v>OK</v>
      </c>
      <c r="AY130" s="85" t="str">
        <f t="shared" ca="1" si="60"/>
        <v>OK</v>
      </c>
      <c r="AZ130" s="85" t="str">
        <f t="shared" ca="1" si="60"/>
        <v>OK</v>
      </c>
      <c r="BA130" s="85" t="str">
        <f t="shared" ca="1" si="60"/>
        <v>OK</v>
      </c>
      <c r="BB130" s="85" t="str">
        <f t="shared" ca="1" si="60"/>
        <v>OK</v>
      </c>
      <c r="BC130" s="85" t="str">
        <f t="shared" ca="1" si="60"/>
        <v>OK</v>
      </c>
      <c r="BD130" s="85" t="str">
        <f t="shared" ca="1" si="60"/>
        <v>OK</v>
      </c>
      <c r="BE130" s="85" t="str">
        <f t="shared" ca="1" si="60"/>
        <v>OK</v>
      </c>
      <c r="BF130" s="85" t="str">
        <f t="shared" ca="1" si="60"/>
        <v>OK</v>
      </c>
      <c r="BG130" s="85" t="str">
        <f t="shared" ca="1" si="60"/>
        <v>OK</v>
      </c>
      <c r="BH130" s="85" t="str">
        <f t="shared" ca="1" si="60"/>
        <v>OK</v>
      </c>
      <c r="BI130" s="85" t="str">
        <f t="shared" ca="1" si="60"/>
        <v>OK</v>
      </c>
      <c r="BJ130" s="85" t="str">
        <f t="shared" ca="1" si="60"/>
        <v>OK</v>
      </c>
      <c r="BK130" s="85" t="str">
        <f t="shared" ca="1" si="60"/>
        <v>OK</v>
      </c>
      <c r="BL130" s="85" t="str">
        <f t="shared" ca="1" si="60"/>
        <v>OK</v>
      </c>
      <c r="BM130" s="85" t="str">
        <f t="shared" ca="1" si="60"/>
        <v>OK</v>
      </c>
      <c r="BN130" s="85" t="str">
        <f t="shared" ca="1" si="60"/>
        <v>OK</v>
      </c>
      <c r="BO130" s="85" t="str">
        <f t="shared" ca="1" si="60"/>
        <v>OK</v>
      </c>
      <c r="BP130" s="85" t="str">
        <f t="shared" ca="1" si="60"/>
        <v>OK</v>
      </c>
    </row>
    <row r="132" spans="1:68" ht="15.75" thickBot="1" x14ac:dyDescent="0.3">
      <c r="A132" s="68"/>
      <c r="B132" s="68"/>
      <c r="C132" s="68" t="s">
        <v>148</v>
      </c>
      <c r="D132" s="68"/>
      <c r="E132" s="68"/>
      <c r="F132" s="68"/>
      <c r="G132" s="68"/>
      <c r="H132" s="68"/>
      <c r="I132" s="68"/>
      <c r="J132" s="68"/>
      <c r="K132" s="68"/>
      <c r="L132" s="68"/>
      <c r="M132" s="68"/>
      <c r="N132" s="68"/>
      <c r="O132" s="68"/>
      <c r="P132" s="68"/>
      <c r="Q132" s="68"/>
      <c r="R132" s="68"/>
      <c r="S132" s="68"/>
      <c r="T132" s="68"/>
      <c r="U132" s="68"/>
      <c r="V132" s="68"/>
      <c r="W132" s="68"/>
      <c r="X132" s="68"/>
      <c r="Y132" s="68"/>
      <c r="Z132" s="68"/>
      <c r="AA132" s="68"/>
      <c r="AB132" s="68"/>
      <c r="AC132" s="68"/>
      <c r="AD132" s="68"/>
      <c r="AE132" s="68"/>
      <c r="AF132" s="68"/>
      <c r="AG132" s="68"/>
      <c r="AH132" s="68"/>
      <c r="AI132" s="68"/>
      <c r="AJ132" s="68"/>
      <c r="AK132" s="68"/>
      <c r="AL132" s="68"/>
      <c r="AM132" s="68"/>
      <c r="AN132" s="68"/>
      <c r="AO132" s="68"/>
      <c r="AP132" s="68"/>
      <c r="AQ132" s="68"/>
      <c r="AR132" s="68"/>
      <c r="AS132" s="68"/>
      <c r="AT132" s="68"/>
      <c r="AU132" s="68"/>
      <c r="AV132" s="68"/>
      <c r="AW132" s="68"/>
      <c r="AX132" s="68"/>
      <c r="AY132" s="68"/>
      <c r="AZ132" s="68"/>
      <c r="BA132" s="68"/>
      <c r="BB132" s="68"/>
      <c r="BC132" s="68"/>
      <c r="BD132" s="68"/>
      <c r="BE132" s="68"/>
      <c r="BF132" s="68"/>
      <c r="BG132" s="68"/>
      <c r="BH132" s="68"/>
      <c r="BI132" s="68"/>
      <c r="BJ132" s="68"/>
      <c r="BK132" s="68"/>
      <c r="BL132" s="68"/>
      <c r="BM132" s="68"/>
      <c r="BN132" s="68"/>
      <c r="BO132" s="68"/>
      <c r="BP132" s="68"/>
    </row>
    <row r="134" spans="1:68" x14ac:dyDescent="0.2">
      <c r="D134" s="1" t="s">
        <v>130</v>
      </c>
    </row>
    <row r="135" spans="1:68" x14ac:dyDescent="0.2">
      <c r="E135" s="1" t="s">
        <v>149</v>
      </c>
      <c r="H135" s="67" t="s">
        <v>150</v>
      </c>
      <c r="I135" s="55">
        <f>H141</f>
        <v>0</v>
      </c>
      <c r="J135" s="55">
        <f t="shared" ref="J135:BP135" ca="1" si="61">I141</f>
        <v>1032</v>
      </c>
      <c r="K135" s="55">
        <f t="shared" ca="1" si="61"/>
        <v>1852</v>
      </c>
      <c r="L135" s="55">
        <f t="shared" ca="1" si="61"/>
        <v>2654</v>
      </c>
      <c r="M135" s="55">
        <f t="shared" ca="1" si="61"/>
        <v>3438</v>
      </c>
      <c r="N135" s="55">
        <f t="shared" ca="1" si="61"/>
        <v>4456</v>
      </c>
      <c r="O135" s="55">
        <f t="shared" ca="1" si="61"/>
        <v>5780</v>
      </c>
      <c r="P135" s="55">
        <f t="shared" ca="1" si="61"/>
        <v>7490</v>
      </c>
      <c r="Q135" s="55">
        <f t="shared" ca="1" si="61"/>
        <v>9710</v>
      </c>
      <c r="R135" s="55">
        <f t="shared" ca="1" si="61"/>
        <v>12592</v>
      </c>
      <c r="S135" s="55">
        <f t="shared" ca="1" si="61"/>
        <v>16334</v>
      </c>
      <c r="T135" s="55">
        <f t="shared" ca="1" si="61"/>
        <v>21184</v>
      </c>
      <c r="U135" s="55">
        <f t="shared" ca="1" si="61"/>
        <v>27478</v>
      </c>
      <c r="V135" s="55">
        <f t="shared" ca="1" si="61"/>
        <v>35664</v>
      </c>
      <c r="W135" s="55">
        <f t="shared" ca="1" si="61"/>
        <v>46298</v>
      </c>
      <c r="X135" s="55">
        <f t="shared" ca="1" si="61"/>
        <v>60110</v>
      </c>
      <c r="Y135" s="55">
        <f t="shared" ca="1" si="61"/>
        <v>78044</v>
      </c>
      <c r="Z135" s="55">
        <f t="shared" ca="1" si="61"/>
        <v>101336</v>
      </c>
      <c r="AA135" s="55">
        <f t="shared" ca="1" si="61"/>
        <v>131576</v>
      </c>
      <c r="AB135" s="55">
        <f t="shared" ca="1" si="61"/>
        <v>170842</v>
      </c>
      <c r="AC135" s="55">
        <f t="shared" ca="1" si="61"/>
        <v>221832</v>
      </c>
      <c r="AD135" s="55">
        <f t="shared" ca="1" si="61"/>
        <v>288038</v>
      </c>
      <c r="AE135" s="55">
        <f t="shared" ca="1" si="61"/>
        <v>374004</v>
      </c>
      <c r="AF135" s="55">
        <f t="shared" ca="1" si="61"/>
        <v>485638</v>
      </c>
      <c r="AG135" s="55">
        <f t="shared" ca="1" si="61"/>
        <v>630594</v>
      </c>
      <c r="AH135" s="55">
        <f t="shared" ca="1" si="61"/>
        <v>849508</v>
      </c>
      <c r="AI135" s="55">
        <f t="shared" ca="1" si="61"/>
        <v>1005484</v>
      </c>
      <c r="AJ135" s="55">
        <f t="shared" ca="1" si="61"/>
        <v>1132745</v>
      </c>
      <c r="AK135" s="55">
        <f t="shared" ca="1" si="61"/>
        <v>1244305</v>
      </c>
      <c r="AL135" s="55">
        <f t="shared" ca="1" si="61"/>
        <v>1366852.5</v>
      </c>
      <c r="AM135" s="55">
        <f t="shared" ca="1" si="61"/>
        <v>1501470</v>
      </c>
      <c r="AN135" s="55">
        <f t="shared" ca="1" si="61"/>
        <v>1649350</v>
      </c>
      <c r="AO135" s="55">
        <f t="shared" ca="1" si="61"/>
        <v>1811805</v>
      </c>
      <c r="AP135" s="55">
        <f t="shared" ca="1" si="61"/>
        <v>1990260</v>
      </c>
      <c r="AQ135" s="55">
        <f t="shared" ca="1" si="61"/>
        <v>2186297.5</v>
      </c>
      <c r="AR135" s="55">
        <f t="shared" ca="1" si="61"/>
        <v>2401640</v>
      </c>
      <c r="AS135" s="55">
        <f t="shared" ca="1" si="61"/>
        <v>2638192.5</v>
      </c>
      <c r="AT135" s="55">
        <f t="shared" ca="1" si="61"/>
        <v>2898837.5</v>
      </c>
      <c r="AU135" s="55">
        <f t="shared" ca="1" si="61"/>
        <v>3185627.5</v>
      </c>
      <c r="AV135" s="55">
        <f t="shared" ca="1" si="61"/>
        <v>3500995</v>
      </c>
      <c r="AW135" s="55">
        <f t="shared" ca="1" si="61"/>
        <v>3847590</v>
      </c>
      <c r="AX135" s="55">
        <f t="shared" ca="1" si="61"/>
        <v>4228495</v>
      </c>
      <c r="AY135" s="55">
        <f t="shared" ca="1" si="61"/>
        <v>4647107.5</v>
      </c>
      <c r="AZ135" s="55">
        <f t="shared" ca="1" si="61"/>
        <v>5107165</v>
      </c>
      <c r="BA135" s="55">
        <f t="shared" ca="1" si="61"/>
        <v>5612765</v>
      </c>
      <c r="BB135" s="55">
        <f t="shared" ca="1" si="61"/>
        <v>6168420</v>
      </c>
      <c r="BC135" s="55">
        <f t="shared" ca="1" si="61"/>
        <v>6779085</v>
      </c>
      <c r="BD135" s="55">
        <f t="shared" ca="1" si="61"/>
        <v>7450210</v>
      </c>
      <c r="BE135" s="55">
        <f t="shared" ca="1" si="61"/>
        <v>8187770</v>
      </c>
      <c r="BF135" s="55">
        <f t="shared" ca="1" si="61"/>
        <v>10081218</v>
      </c>
      <c r="BG135" s="55">
        <f t="shared" ca="1" si="61"/>
        <v>11620676.5</v>
      </c>
      <c r="BH135" s="55">
        <f t="shared" ca="1" si="61"/>
        <v>13041828</v>
      </c>
      <c r="BI135" s="55">
        <f t="shared" ca="1" si="61"/>
        <v>14332959</v>
      </c>
      <c r="BJ135" s="55">
        <f t="shared" ca="1" si="61"/>
        <v>15751911</v>
      </c>
      <c r="BK135" s="55">
        <f t="shared" ca="1" si="61"/>
        <v>17311341</v>
      </c>
      <c r="BL135" s="55">
        <f t="shared" ca="1" si="61"/>
        <v>19025154</v>
      </c>
      <c r="BM135" s="55">
        <f t="shared" ca="1" si="61"/>
        <v>20908641</v>
      </c>
      <c r="BN135" s="55">
        <f t="shared" ca="1" si="61"/>
        <v>22978587</v>
      </c>
      <c r="BO135" s="55">
        <f t="shared" ca="1" si="61"/>
        <v>25253451</v>
      </c>
      <c r="BP135" s="55">
        <f t="shared" ca="1" si="61"/>
        <v>27753528</v>
      </c>
    </row>
    <row r="136" spans="1:68" x14ac:dyDescent="0.2">
      <c r="F136" s="1" t="s">
        <v>151</v>
      </c>
      <c r="I136" s="55">
        <f t="shared" ref="I136:AN136" ca="1" si="62">I22</f>
        <v>2580</v>
      </c>
      <c r="J136" s="55">
        <f t="shared" ca="1" si="62"/>
        <v>3340</v>
      </c>
      <c r="K136" s="55">
        <f t="shared" ca="1" si="62"/>
        <v>4320</v>
      </c>
      <c r="L136" s="55">
        <f t="shared" ca="1" si="62"/>
        <v>5600</v>
      </c>
      <c r="M136" s="55">
        <f t="shared" ca="1" si="62"/>
        <v>7260</v>
      </c>
      <c r="N136" s="55">
        <f t="shared" ca="1" si="62"/>
        <v>9420</v>
      </c>
      <c r="O136" s="55">
        <f t="shared" ca="1" si="62"/>
        <v>12200</v>
      </c>
      <c r="P136" s="55">
        <f t="shared" ca="1" si="62"/>
        <v>15820</v>
      </c>
      <c r="Q136" s="55">
        <f t="shared" ca="1" si="62"/>
        <v>20520</v>
      </c>
      <c r="R136" s="55">
        <f t="shared" ca="1" si="62"/>
        <v>26620</v>
      </c>
      <c r="S136" s="55">
        <f t="shared" ca="1" si="62"/>
        <v>34520</v>
      </c>
      <c r="T136" s="55">
        <f t="shared" ca="1" si="62"/>
        <v>44780</v>
      </c>
      <c r="U136" s="55">
        <f t="shared" ca="1" si="62"/>
        <v>58140</v>
      </c>
      <c r="V136" s="55">
        <f t="shared" ca="1" si="62"/>
        <v>75480</v>
      </c>
      <c r="W136" s="55">
        <f t="shared" ca="1" si="62"/>
        <v>98000</v>
      </c>
      <c r="X136" s="55">
        <f t="shared" ca="1" si="62"/>
        <v>127240</v>
      </c>
      <c r="Y136" s="55">
        <f t="shared" ca="1" si="62"/>
        <v>165220</v>
      </c>
      <c r="Z136" s="55">
        <f t="shared" ca="1" si="62"/>
        <v>214520</v>
      </c>
      <c r="AA136" s="55">
        <f t="shared" ca="1" si="62"/>
        <v>278540</v>
      </c>
      <c r="AB136" s="55">
        <f t="shared" ca="1" si="62"/>
        <v>361680</v>
      </c>
      <c r="AC136" s="55">
        <f t="shared" ca="1" si="62"/>
        <v>469620</v>
      </c>
      <c r="AD136" s="55">
        <f t="shared" ca="1" si="62"/>
        <v>609780</v>
      </c>
      <c r="AE136" s="55">
        <f t="shared" ca="1" si="62"/>
        <v>791800</v>
      </c>
      <c r="AF136" s="55">
        <f t="shared" ca="1" si="62"/>
        <v>1028140</v>
      </c>
      <c r="AG136" s="55">
        <f t="shared" ca="1" si="62"/>
        <v>1411750</v>
      </c>
      <c r="AH136" s="55">
        <f t="shared" ca="1" si="62"/>
        <v>1550800</v>
      </c>
      <c r="AI136" s="55">
        <f t="shared" ca="1" si="62"/>
        <v>1703525</v>
      </c>
      <c r="AJ136" s="55">
        <f t="shared" ca="1" si="62"/>
        <v>1871300</v>
      </c>
      <c r="AK136" s="55">
        <f t="shared" ca="1" si="62"/>
        <v>2055600</v>
      </c>
      <c r="AL136" s="55">
        <f t="shared" ca="1" si="62"/>
        <v>2258050</v>
      </c>
      <c r="AM136" s="55">
        <f t="shared" ca="1" si="62"/>
        <v>2480450</v>
      </c>
      <c r="AN136" s="55">
        <f t="shared" ca="1" si="62"/>
        <v>2724775</v>
      </c>
      <c r="AO136" s="55">
        <f t="shared" ref="AO136:BP136" ca="1" si="63">AO22</f>
        <v>2993150</v>
      </c>
      <c r="AP136" s="55">
        <f t="shared" ca="1" si="63"/>
        <v>3287975</v>
      </c>
      <c r="AQ136" s="55">
        <f t="shared" ca="1" si="63"/>
        <v>3611825</v>
      </c>
      <c r="AR136" s="55">
        <f t="shared" ca="1" si="63"/>
        <v>3967575</v>
      </c>
      <c r="AS136" s="55">
        <f t="shared" ca="1" si="63"/>
        <v>4360350</v>
      </c>
      <c r="AT136" s="55">
        <f t="shared" ca="1" si="63"/>
        <v>4792000</v>
      </c>
      <c r="AU136" s="55">
        <f t="shared" ca="1" si="63"/>
        <v>5266400</v>
      </c>
      <c r="AV136" s="55">
        <f t="shared" ca="1" si="63"/>
        <v>5787775</v>
      </c>
      <c r="AW136" s="55">
        <f t="shared" ca="1" si="63"/>
        <v>6360750</v>
      </c>
      <c r="AX136" s="55">
        <f t="shared" ca="1" si="63"/>
        <v>6990450</v>
      </c>
      <c r="AY136" s="55">
        <f t="shared" ca="1" si="63"/>
        <v>7682500</v>
      </c>
      <c r="AZ136" s="55">
        <f t="shared" ca="1" si="63"/>
        <v>8443050</v>
      </c>
      <c r="BA136" s="55">
        <f t="shared" ca="1" si="63"/>
        <v>9278900</v>
      </c>
      <c r="BB136" s="55">
        <f t="shared" ca="1" si="63"/>
        <v>10197500</v>
      </c>
      <c r="BC136" s="55">
        <f t="shared" ca="1" si="63"/>
        <v>11207050</v>
      </c>
      <c r="BD136" s="55">
        <f t="shared" ca="1" si="63"/>
        <v>12316525</v>
      </c>
      <c r="BE136" s="55">
        <f t="shared" ca="1" si="63"/>
        <v>16243020</v>
      </c>
      <c r="BF136" s="55">
        <f t="shared" ca="1" si="63"/>
        <v>17851050</v>
      </c>
      <c r="BG136" s="55">
        <f t="shared" ca="1" si="63"/>
        <v>19618290</v>
      </c>
      <c r="BH136" s="55">
        <f t="shared" ca="1" si="63"/>
        <v>21560490</v>
      </c>
      <c r="BI136" s="55">
        <f t="shared" ca="1" si="63"/>
        <v>23694960</v>
      </c>
      <c r="BJ136" s="55">
        <f t="shared" ca="1" si="63"/>
        <v>26040750</v>
      </c>
      <c r="BK136" s="55">
        <f t="shared" ca="1" si="63"/>
        <v>28618770</v>
      </c>
      <c r="BL136" s="55">
        <f t="shared" ca="1" si="63"/>
        <v>31452030</v>
      </c>
      <c r="BM136" s="55">
        <f t="shared" ca="1" si="63"/>
        <v>34565760</v>
      </c>
      <c r="BN136" s="55">
        <f t="shared" ca="1" si="63"/>
        <v>37987740</v>
      </c>
      <c r="BO136" s="55">
        <f t="shared" ca="1" si="63"/>
        <v>41748510</v>
      </c>
      <c r="BP136" s="55">
        <f t="shared" ca="1" si="63"/>
        <v>45881610</v>
      </c>
    </row>
    <row r="137" spans="1:68" x14ac:dyDescent="0.2">
      <c r="F137" s="1" t="s">
        <v>152</v>
      </c>
      <c r="H137" s="1">
        <v>0</v>
      </c>
      <c r="I137" s="55">
        <f ca="1">-I136*INDEX(tblDebtorCollection[%],MATCH(Calculations!$H137,tblDebtorCollection[Months],0))</f>
        <v>-1548</v>
      </c>
      <c r="J137" s="55">
        <f ca="1">-J136*INDEX(tblDebtorCollection[%],MATCH(Calculations!$H137,tblDebtorCollection[Months],0))</f>
        <v>-2004</v>
      </c>
      <c r="K137" s="55">
        <f ca="1">-K136*INDEX(tblDebtorCollection[%],MATCH(Calculations!$H137,tblDebtorCollection[Months],0))</f>
        <v>-2592</v>
      </c>
      <c r="L137" s="55">
        <f ca="1">-L136*INDEX(tblDebtorCollection[%],MATCH(Calculations!$H137,tblDebtorCollection[Months],0))</f>
        <v>-3360</v>
      </c>
      <c r="M137" s="55">
        <f ca="1">-M136*INDEX(tblDebtorCollection[%],MATCH(Calculations!$H137,tblDebtorCollection[Months],0))</f>
        <v>-4356</v>
      </c>
      <c r="N137" s="55">
        <f ca="1">-N136*INDEX(tblDebtorCollection[%],MATCH(Calculations!$H137,tblDebtorCollection[Months],0))</f>
        <v>-5652</v>
      </c>
      <c r="O137" s="55">
        <f ca="1">-O136*INDEX(tblDebtorCollection[%],MATCH(Calculations!$H137,tblDebtorCollection[Months],0))</f>
        <v>-7320</v>
      </c>
      <c r="P137" s="55">
        <f ca="1">-P136*INDEX(tblDebtorCollection[%],MATCH(Calculations!$H137,tblDebtorCollection[Months],0))</f>
        <v>-9492</v>
      </c>
      <c r="Q137" s="55">
        <f ca="1">-Q136*INDEX(tblDebtorCollection[%],MATCH(Calculations!$H137,tblDebtorCollection[Months],0))</f>
        <v>-12312</v>
      </c>
      <c r="R137" s="55">
        <f ca="1">-R136*INDEX(tblDebtorCollection[%],MATCH(Calculations!$H137,tblDebtorCollection[Months],0))</f>
        <v>-15972</v>
      </c>
      <c r="S137" s="55">
        <f ca="1">-S136*INDEX(tblDebtorCollection[%],MATCH(Calculations!$H137,tblDebtorCollection[Months],0))</f>
        <v>-20712</v>
      </c>
      <c r="T137" s="55">
        <f ca="1">-T136*INDEX(tblDebtorCollection[%],MATCH(Calculations!$H137,tblDebtorCollection[Months],0))</f>
        <v>-26868</v>
      </c>
      <c r="U137" s="55">
        <f ca="1">-U136*INDEX(tblDebtorCollection[%],MATCH(Calculations!$H137,tblDebtorCollection[Months],0))</f>
        <v>-34884</v>
      </c>
      <c r="V137" s="55">
        <f ca="1">-V136*INDEX(tblDebtorCollection[%],MATCH(Calculations!$H137,tblDebtorCollection[Months],0))</f>
        <v>-45288</v>
      </c>
      <c r="W137" s="55">
        <f ca="1">-W136*INDEX(tblDebtorCollection[%],MATCH(Calculations!$H137,tblDebtorCollection[Months],0))</f>
        <v>-58800</v>
      </c>
      <c r="X137" s="55">
        <f ca="1">-X136*INDEX(tblDebtorCollection[%],MATCH(Calculations!$H137,tblDebtorCollection[Months],0))</f>
        <v>-76344</v>
      </c>
      <c r="Y137" s="55">
        <f ca="1">-Y136*INDEX(tblDebtorCollection[%],MATCH(Calculations!$H137,tblDebtorCollection[Months],0))</f>
        <v>-99132</v>
      </c>
      <c r="Z137" s="55">
        <f ca="1">-Z136*INDEX(tblDebtorCollection[%],MATCH(Calculations!$H137,tblDebtorCollection[Months],0))</f>
        <v>-128712</v>
      </c>
      <c r="AA137" s="55">
        <f ca="1">-AA136*INDEX(tblDebtorCollection[%],MATCH(Calculations!$H137,tblDebtorCollection[Months],0))</f>
        <v>-167124</v>
      </c>
      <c r="AB137" s="55">
        <f ca="1">-AB136*INDEX(tblDebtorCollection[%],MATCH(Calculations!$H137,tblDebtorCollection[Months],0))</f>
        <v>-217008</v>
      </c>
      <c r="AC137" s="55">
        <f ca="1">-AC136*INDEX(tblDebtorCollection[%],MATCH(Calculations!$H137,tblDebtorCollection[Months],0))</f>
        <v>-281772</v>
      </c>
      <c r="AD137" s="55">
        <f ca="1">-AD136*INDEX(tblDebtorCollection[%],MATCH(Calculations!$H137,tblDebtorCollection[Months],0))</f>
        <v>-365868</v>
      </c>
      <c r="AE137" s="55">
        <f ca="1">-AE136*INDEX(tblDebtorCollection[%],MATCH(Calculations!$H137,tblDebtorCollection[Months],0))</f>
        <v>-475080</v>
      </c>
      <c r="AF137" s="55">
        <f ca="1">-AF136*INDEX(tblDebtorCollection[%],MATCH(Calculations!$H137,tblDebtorCollection[Months],0))</f>
        <v>-616884</v>
      </c>
      <c r="AG137" s="55">
        <f ca="1">-AG136*INDEX(tblDebtorCollection[%],MATCH(Calculations!$H137,tblDebtorCollection[Months],0))</f>
        <v>-847050</v>
      </c>
      <c r="AH137" s="55">
        <f ca="1">-AH136*INDEX(tblDebtorCollection[%],MATCH(Calculations!$H137,tblDebtorCollection[Months],0))</f>
        <v>-930480</v>
      </c>
      <c r="AI137" s="55">
        <f ca="1">-AI136*INDEX(tblDebtorCollection[%],MATCH(Calculations!$H137,tblDebtorCollection[Months],0))</f>
        <v>-1022115</v>
      </c>
      <c r="AJ137" s="55">
        <f ca="1">-AJ136*INDEX(tblDebtorCollection[%],MATCH(Calculations!$H137,tblDebtorCollection[Months],0))</f>
        <v>-1122780</v>
      </c>
      <c r="AK137" s="55">
        <f ca="1">-AK136*INDEX(tblDebtorCollection[%],MATCH(Calculations!$H137,tblDebtorCollection[Months],0))</f>
        <v>-1233360</v>
      </c>
      <c r="AL137" s="55">
        <f ca="1">-AL136*INDEX(tblDebtorCollection[%],MATCH(Calculations!$H137,tblDebtorCollection[Months],0))</f>
        <v>-1354830</v>
      </c>
      <c r="AM137" s="55">
        <f ca="1">-AM136*INDEX(tblDebtorCollection[%],MATCH(Calculations!$H137,tblDebtorCollection[Months],0))</f>
        <v>-1488270</v>
      </c>
      <c r="AN137" s="55">
        <f ca="1">-AN136*INDEX(tblDebtorCollection[%],MATCH(Calculations!$H137,tblDebtorCollection[Months],0))</f>
        <v>-1634865</v>
      </c>
      <c r="AO137" s="55">
        <f ca="1">-AO136*INDEX(tblDebtorCollection[%],MATCH(Calculations!$H137,tblDebtorCollection[Months],0))</f>
        <v>-1795890</v>
      </c>
      <c r="AP137" s="55">
        <f ca="1">-AP136*INDEX(tblDebtorCollection[%],MATCH(Calculations!$H137,tblDebtorCollection[Months],0))</f>
        <v>-1972785</v>
      </c>
      <c r="AQ137" s="55">
        <f ca="1">-AQ136*INDEX(tblDebtorCollection[%],MATCH(Calculations!$H137,tblDebtorCollection[Months],0))</f>
        <v>-2167095</v>
      </c>
      <c r="AR137" s="55">
        <f ca="1">-AR136*INDEX(tblDebtorCollection[%],MATCH(Calculations!$H137,tblDebtorCollection[Months],0))</f>
        <v>-2380545</v>
      </c>
      <c r="AS137" s="55">
        <f ca="1">-AS136*INDEX(tblDebtorCollection[%],MATCH(Calculations!$H137,tblDebtorCollection[Months],0))</f>
        <v>-2616210</v>
      </c>
      <c r="AT137" s="55">
        <f ca="1">-AT136*INDEX(tblDebtorCollection[%],MATCH(Calculations!$H137,tblDebtorCollection[Months],0))</f>
        <v>-2875200</v>
      </c>
      <c r="AU137" s="55">
        <f ca="1">-AU136*INDEX(tblDebtorCollection[%],MATCH(Calculations!$H137,tblDebtorCollection[Months],0))</f>
        <v>-3159840</v>
      </c>
      <c r="AV137" s="55">
        <f ca="1">-AV136*INDEX(tblDebtorCollection[%],MATCH(Calculations!$H137,tblDebtorCollection[Months],0))</f>
        <v>-3472665</v>
      </c>
      <c r="AW137" s="55">
        <f ca="1">-AW136*INDEX(tblDebtorCollection[%],MATCH(Calculations!$H137,tblDebtorCollection[Months],0))</f>
        <v>-3816450</v>
      </c>
      <c r="AX137" s="55">
        <f ca="1">-AX136*INDEX(tblDebtorCollection[%],MATCH(Calculations!$H137,tblDebtorCollection[Months],0))</f>
        <v>-4194270</v>
      </c>
      <c r="AY137" s="55">
        <f ca="1">-AY136*INDEX(tblDebtorCollection[%],MATCH(Calculations!$H137,tblDebtorCollection[Months],0))</f>
        <v>-4609500</v>
      </c>
      <c r="AZ137" s="55">
        <f ca="1">-AZ136*INDEX(tblDebtorCollection[%],MATCH(Calculations!$H137,tblDebtorCollection[Months],0))</f>
        <v>-5065830</v>
      </c>
      <c r="BA137" s="55">
        <f ca="1">-BA136*INDEX(tblDebtorCollection[%],MATCH(Calculations!$H137,tblDebtorCollection[Months],0))</f>
        <v>-5567340</v>
      </c>
      <c r="BB137" s="55">
        <f ca="1">-BB136*INDEX(tblDebtorCollection[%],MATCH(Calculations!$H137,tblDebtorCollection[Months],0))</f>
        <v>-6118500</v>
      </c>
      <c r="BC137" s="55">
        <f ca="1">-BC136*INDEX(tblDebtorCollection[%],MATCH(Calculations!$H137,tblDebtorCollection[Months],0))</f>
        <v>-6724230</v>
      </c>
      <c r="BD137" s="55">
        <f ca="1">-BD136*INDEX(tblDebtorCollection[%],MATCH(Calculations!$H137,tblDebtorCollection[Months],0))</f>
        <v>-7389915</v>
      </c>
      <c r="BE137" s="55">
        <f ca="1">-BE136*INDEX(tblDebtorCollection[%],MATCH(Calculations!$H137,tblDebtorCollection[Months],0))</f>
        <v>-9745812</v>
      </c>
      <c r="BF137" s="55">
        <f ca="1">-BF136*INDEX(tblDebtorCollection[%],MATCH(Calculations!$H137,tblDebtorCollection[Months],0))</f>
        <v>-10710630</v>
      </c>
      <c r="BG137" s="55">
        <f ca="1">-BG136*INDEX(tblDebtorCollection[%],MATCH(Calculations!$H137,tblDebtorCollection[Months],0))</f>
        <v>-11770974</v>
      </c>
      <c r="BH137" s="55">
        <f ca="1">-BH136*INDEX(tblDebtorCollection[%],MATCH(Calculations!$H137,tblDebtorCollection[Months],0))</f>
        <v>-12936294</v>
      </c>
      <c r="BI137" s="55">
        <f ca="1">-BI136*INDEX(tblDebtorCollection[%],MATCH(Calculations!$H137,tblDebtorCollection[Months],0))</f>
        <v>-14216976</v>
      </c>
      <c r="BJ137" s="55">
        <f ca="1">-BJ136*INDEX(tblDebtorCollection[%],MATCH(Calculations!$H137,tblDebtorCollection[Months],0))</f>
        <v>-15624450</v>
      </c>
      <c r="BK137" s="55">
        <f ca="1">-BK136*INDEX(tblDebtorCollection[%],MATCH(Calculations!$H137,tblDebtorCollection[Months],0))</f>
        <v>-17171262</v>
      </c>
      <c r="BL137" s="55">
        <f ca="1">-BL136*INDEX(tblDebtorCollection[%],MATCH(Calculations!$H137,tblDebtorCollection[Months],0))</f>
        <v>-18871218</v>
      </c>
      <c r="BM137" s="55">
        <f ca="1">-BM136*INDEX(tblDebtorCollection[%],MATCH(Calculations!$H137,tblDebtorCollection[Months],0))</f>
        <v>-20739456</v>
      </c>
      <c r="BN137" s="55">
        <f ca="1">-BN136*INDEX(tblDebtorCollection[%],MATCH(Calculations!$H137,tblDebtorCollection[Months],0))</f>
        <v>-22792644</v>
      </c>
      <c r="BO137" s="55">
        <f ca="1">-BO136*INDEX(tblDebtorCollection[%],MATCH(Calculations!$H137,tblDebtorCollection[Months],0))</f>
        <v>-25049106</v>
      </c>
      <c r="BP137" s="55">
        <f ca="1">-BP136*INDEX(tblDebtorCollection[%],MATCH(Calculations!$H137,tblDebtorCollection[Months],0))</f>
        <v>-27528966</v>
      </c>
    </row>
    <row r="138" spans="1:68" x14ac:dyDescent="0.2">
      <c r="F138" s="1" t="s">
        <v>152</v>
      </c>
      <c r="H138" s="1">
        <v>1</v>
      </c>
      <c r="I138" s="55"/>
      <c r="J138" s="55">
        <f ca="1">-I136*INDEX(tblDebtorCollection[%],MATCH(Calculations!$H138,tblDebtorCollection[Months],0))</f>
        <v>-516</v>
      </c>
      <c r="K138" s="55">
        <f ca="1">-J136*INDEX(tblDebtorCollection[%],MATCH(Calculations!$H138,tblDebtorCollection[Months],0))</f>
        <v>-668</v>
      </c>
      <c r="L138" s="55">
        <f ca="1">-K136*INDEX(tblDebtorCollection[%],MATCH(Calculations!$H138,tblDebtorCollection[Months],0))</f>
        <v>-864</v>
      </c>
      <c r="M138" s="55">
        <f ca="1">-L136*INDEX(tblDebtorCollection[%],MATCH(Calculations!$H138,tblDebtorCollection[Months],0))</f>
        <v>-1120</v>
      </c>
      <c r="N138" s="55">
        <f ca="1">-M136*INDEX(tblDebtorCollection[%],MATCH(Calculations!$H138,tblDebtorCollection[Months],0))</f>
        <v>-1452</v>
      </c>
      <c r="O138" s="55">
        <f ca="1">-N136*INDEX(tblDebtorCollection[%],MATCH(Calculations!$H138,tblDebtorCollection[Months],0))</f>
        <v>-1884</v>
      </c>
      <c r="P138" s="55">
        <f ca="1">-O136*INDEX(tblDebtorCollection[%],MATCH(Calculations!$H138,tblDebtorCollection[Months],0))</f>
        <v>-2440</v>
      </c>
      <c r="Q138" s="55">
        <f ca="1">-P136*INDEX(tblDebtorCollection[%],MATCH(Calculations!$H138,tblDebtorCollection[Months],0))</f>
        <v>-3164</v>
      </c>
      <c r="R138" s="55">
        <f ca="1">-Q136*INDEX(tblDebtorCollection[%],MATCH(Calculations!$H138,tblDebtorCollection[Months],0))</f>
        <v>-4104</v>
      </c>
      <c r="S138" s="55">
        <f ca="1">-R136*INDEX(tblDebtorCollection[%],MATCH(Calculations!$H138,tblDebtorCollection[Months],0))</f>
        <v>-5324</v>
      </c>
      <c r="T138" s="55">
        <f ca="1">-S136*INDEX(tblDebtorCollection[%],MATCH(Calculations!$H138,tblDebtorCollection[Months],0))</f>
        <v>-6904</v>
      </c>
      <c r="U138" s="55">
        <f ca="1">-T136*INDEX(tblDebtorCollection[%],MATCH(Calculations!$H138,tblDebtorCollection[Months],0))</f>
        <v>-8956</v>
      </c>
      <c r="V138" s="55">
        <f ca="1">-U136*INDEX(tblDebtorCollection[%],MATCH(Calculations!$H138,tblDebtorCollection[Months],0))</f>
        <v>-11628</v>
      </c>
      <c r="W138" s="55">
        <f ca="1">-V136*INDEX(tblDebtorCollection[%],MATCH(Calculations!$H138,tblDebtorCollection[Months],0))</f>
        <v>-15096</v>
      </c>
      <c r="X138" s="55">
        <f ca="1">-W136*INDEX(tblDebtorCollection[%],MATCH(Calculations!$H138,tblDebtorCollection[Months],0))</f>
        <v>-19600</v>
      </c>
      <c r="Y138" s="55">
        <f ca="1">-X136*INDEX(tblDebtorCollection[%],MATCH(Calculations!$H138,tblDebtorCollection[Months],0))</f>
        <v>-25448</v>
      </c>
      <c r="Z138" s="55">
        <f ca="1">-Y136*INDEX(tblDebtorCollection[%],MATCH(Calculations!$H138,tblDebtorCollection[Months],0))</f>
        <v>-33044</v>
      </c>
      <c r="AA138" s="55">
        <f ca="1">-Z136*INDEX(tblDebtorCollection[%],MATCH(Calculations!$H138,tblDebtorCollection[Months],0))</f>
        <v>-42904</v>
      </c>
      <c r="AB138" s="55">
        <f ca="1">-AA136*INDEX(tblDebtorCollection[%],MATCH(Calculations!$H138,tblDebtorCollection[Months],0))</f>
        <v>-55708</v>
      </c>
      <c r="AC138" s="55">
        <f ca="1">-AB136*INDEX(tblDebtorCollection[%],MATCH(Calculations!$H138,tblDebtorCollection[Months],0))</f>
        <v>-72336</v>
      </c>
      <c r="AD138" s="55">
        <f ca="1">-AC136*INDEX(tblDebtorCollection[%],MATCH(Calculations!$H138,tblDebtorCollection[Months],0))</f>
        <v>-93924</v>
      </c>
      <c r="AE138" s="55">
        <f ca="1">-AD136*INDEX(tblDebtorCollection[%],MATCH(Calculations!$H138,tblDebtorCollection[Months],0))</f>
        <v>-121956</v>
      </c>
      <c r="AF138" s="55">
        <f ca="1">-AE136*INDEX(tblDebtorCollection[%],MATCH(Calculations!$H138,tblDebtorCollection[Months],0))</f>
        <v>-158360</v>
      </c>
      <c r="AG138" s="55">
        <f ca="1">-AF136*INDEX(tblDebtorCollection[%],MATCH(Calculations!$H138,tblDebtorCollection[Months],0))</f>
        <v>-205628</v>
      </c>
      <c r="AH138" s="55">
        <f ca="1">-AG136*INDEX(tblDebtorCollection[%],MATCH(Calculations!$H138,tblDebtorCollection[Months],0))</f>
        <v>-282350</v>
      </c>
      <c r="AI138" s="55">
        <f ca="1">-AH136*INDEX(tblDebtorCollection[%],MATCH(Calculations!$H138,tblDebtorCollection[Months],0))</f>
        <v>-310160</v>
      </c>
      <c r="AJ138" s="55">
        <f ca="1">-AI136*INDEX(tblDebtorCollection[%],MATCH(Calculations!$H138,tblDebtorCollection[Months],0))</f>
        <v>-340705</v>
      </c>
      <c r="AK138" s="55">
        <f ca="1">-AJ136*INDEX(tblDebtorCollection[%],MATCH(Calculations!$H138,tblDebtorCollection[Months],0))</f>
        <v>-374260</v>
      </c>
      <c r="AL138" s="55">
        <f ca="1">-AK136*INDEX(tblDebtorCollection[%],MATCH(Calculations!$H138,tblDebtorCollection[Months],0))</f>
        <v>-411120</v>
      </c>
      <c r="AM138" s="55">
        <f ca="1">-AL136*INDEX(tblDebtorCollection[%],MATCH(Calculations!$H138,tblDebtorCollection[Months],0))</f>
        <v>-451610</v>
      </c>
      <c r="AN138" s="55">
        <f ca="1">-AM136*INDEX(tblDebtorCollection[%],MATCH(Calculations!$H138,tblDebtorCollection[Months],0))</f>
        <v>-496090</v>
      </c>
      <c r="AO138" s="55">
        <f ca="1">-AN136*INDEX(tblDebtorCollection[%],MATCH(Calculations!$H138,tblDebtorCollection[Months],0))</f>
        <v>-544955</v>
      </c>
      <c r="AP138" s="55">
        <f ca="1">-AO136*INDEX(tblDebtorCollection[%],MATCH(Calculations!$H138,tblDebtorCollection[Months],0))</f>
        <v>-598630</v>
      </c>
      <c r="AQ138" s="55">
        <f ca="1">-AP136*INDEX(tblDebtorCollection[%],MATCH(Calculations!$H138,tblDebtorCollection[Months],0))</f>
        <v>-657595</v>
      </c>
      <c r="AR138" s="55">
        <f ca="1">-AQ136*INDEX(tblDebtorCollection[%],MATCH(Calculations!$H138,tblDebtorCollection[Months],0))</f>
        <v>-722365</v>
      </c>
      <c r="AS138" s="55">
        <f ca="1">-AR136*INDEX(tblDebtorCollection[%],MATCH(Calculations!$H138,tblDebtorCollection[Months],0))</f>
        <v>-793515</v>
      </c>
      <c r="AT138" s="55">
        <f ca="1">-AS136*INDEX(tblDebtorCollection[%],MATCH(Calculations!$H138,tblDebtorCollection[Months],0))</f>
        <v>-872070</v>
      </c>
      <c r="AU138" s="55">
        <f ca="1">-AT136*INDEX(tblDebtorCollection[%],MATCH(Calculations!$H138,tblDebtorCollection[Months],0))</f>
        <v>-958400</v>
      </c>
      <c r="AV138" s="55">
        <f ca="1">-AU136*INDEX(tblDebtorCollection[%],MATCH(Calculations!$H138,tblDebtorCollection[Months],0))</f>
        <v>-1053280</v>
      </c>
      <c r="AW138" s="55">
        <f ca="1">-AV136*INDEX(tblDebtorCollection[%],MATCH(Calculations!$H138,tblDebtorCollection[Months],0))</f>
        <v>-1157555</v>
      </c>
      <c r="AX138" s="55">
        <f ca="1">-AW136*INDEX(tblDebtorCollection[%],MATCH(Calculations!$H138,tblDebtorCollection[Months],0))</f>
        <v>-1272150</v>
      </c>
      <c r="AY138" s="55">
        <f ca="1">-AX136*INDEX(tblDebtorCollection[%],MATCH(Calculations!$H138,tblDebtorCollection[Months],0))</f>
        <v>-1398090</v>
      </c>
      <c r="AZ138" s="55">
        <f ca="1">-AY136*INDEX(tblDebtorCollection[%],MATCH(Calculations!$H138,tblDebtorCollection[Months],0))</f>
        <v>-1536500</v>
      </c>
      <c r="BA138" s="55">
        <f ca="1">-AZ136*INDEX(tblDebtorCollection[%],MATCH(Calculations!$H138,tblDebtorCollection[Months],0))</f>
        <v>-1688610</v>
      </c>
      <c r="BB138" s="55">
        <f ca="1">-BA136*INDEX(tblDebtorCollection[%],MATCH(Calculations!$H138,tblDebtorCollection[Months],0))</f>
        <v>-1855780</v>
      </c>
      <c r="BC138" s="55">
        <f ca="1">-BB136*INDEX(tblDebtorCollection[%],MATCH(Calculations!$H138,tblDebtorCollection[Months],0))</f>
        <v>-2039500</v>
      </c>
      <c r="BD138" s="55">
        <f ca="1">-BC136*INDEX(tblDebtorCollection[%],MATCH(Calculations!$H138,tblDebtorCollection[Months],0))</f>
        <v>-2241410</v>
      </c>
      <c r="BE138" s="55">
        <f ca="1">-BD136*INDEX(tblDebtorCollection[%],MATCH(Calculations!$H138,tblDebtorCollection[Months],0))</f>
        <v>-2463305</v>
      </c>
      <c r="BF138" s="55">
        <f ca="1">-BE136*INDEX(tblDebtorCollection[%],MATCH(Calculations!$H138,tblDebtorCollection[Months],0))</f>
        <v>-3248604</v>
      </c>
      <c r="BG138" s="55">
        <f ca="1">-BF136*INDEX(tblDebtorCollection[%],MATCH(Calculations!$H138,tblDebtorCollection[Months],0))</f>
        <v>-3570210</v>
      </c>
      <c r="BH138" s="55">
        <f ca="1">-BG136*INDEX(tblDebtorCollection[%],MATCH(Calculations!$H138,tblDebtorCollection[Months],0))</f>
        <v>-3923658</v>
      </c>
      <c r="BI138" s="55">
        <f ca="1">-BH136*INDEX(tblDebtorCollection[%],MATCH(Calculations!$H138,tblDebtorCollection[Months],0))</f>
        <v>-4312098</v>
      </c>
      <c r="BJ138" s="55">
        <f ca="1">-BI136*INDEX(tblDebtorCollection[%],MATCH(Calculations!$H138,tblDebtorCollection[Months],0))</f>
        <v>-4738992</v>
      </c>
      <c r="BK138" s="55">
        <f ca="1">-BJ136*INDEX(tblDebtorCollection[%],MATCH(Calculations!$H138,tblDebtorCollection[Months],0))</f>
        <v>-5208150</v>
      </c>
      <c r="BL138" s="55">
        <f ca="1">-BK136*INDEX(tblDebtorCollection[%],MATCH(Calculations!$H138,tblDebtorCollection[Months],0))</f>
        <v>-5723754</v>
      </c>
      <c r="BM138" s="55">
        <f ca="1">-BL136*INDEX(tblDebtorCollection[%],MATCH(Calculations!$H138,tblDebtorCollection[Months],0))</f>
        <v>-6290406</v>
      </c>
      <c r="BN138" s="55">
        <f ca="1">-BM136*INDEX(tblDebtorCollection[%],MATCH(Calculations!$H138,tblDebtorCollection[Months],0))</f>
        <v>-6913152</v>
      </c>
      <c r="BO138" s="55">
        <f ca="1">-BN136*INDEX(tblDebtorCollection[%],MATCH(Calculations!$H138,tblDebtorCollection[Months],0))</f>
        <v>-7597548</v>
      </c>
      <c r="BP138" s="55">
        <f ca="1">-BO136*INDEX(tblDebtorCollection[%],MATCH(Calculations!$H138,tblDebtorCollection[Months],0))</f>
        <v>-8349702</v>
      </c>
    </row>
    <row r="139" spans="1:68" x14ac:dyDescent="0.2">
      <c r="F139" s="1" t="s">
        <v>152</v>
      </c>
      <c r="H139" s="1">
        <v>2</v>
      </c>
      <c r="I139" s="55"/>
      <c r="J139" s="55"/>
      <c r="K139" s="55">
        <f ca="1">-I136*INDEX(tblDebtorCollection[%],MATCH(Calculations!$H139,tblDebtorCollection[Months],0))</f>
        <v>-258</v>
      </c>
      <c r="L139" s="55">
        <f ca="1">-J136*INDEX(tblDebtorCollection[%],MATCH(Calculations!$H139,tblDebtorCollection[Months],0))</f>
        <v>-334</v>
      </c>
      <c r="M139" s="55">
        <f ca="1">-K136*INDEX(tblDebtorCollection[%],MATCH(Calculations!$H139,tblDebtorCollection[Months],0))</f>
        <v>-432</v>
      </c>
      <c r="N139" s="55">
        <f ca="1">-L136*INDEX(tblDebtorCollection[%],MATCH(Calculations!$H139,tblDebtorCollection[Months],0))</f>
        <v>-560</v>
      </c>
      <c r="O139" s="55">
        <f ca="1">-M136*INDEX(tblDebtorCollection[%],MATCH(Calculations!$H139,tblDebtorCollection[Months],0))</f>
        <v>-726</v>
      </c>
      <c r="P139" s="55">
        <f ca="1">-N136*INDEX(tblDebtorCollection[%],MATCH(Calculations!$H139,tblDebtorCollection[Months],0))</f>
        <v>-942</v>
      </c>
      <c r="Q139" s="55">
        <f ca="1">-O136*INDEX(tblDebtorCollection[%],MATCH(Calculations!$H139,tblDebtorCollection[Months],0))</f>
        <v>-1220</v>
      </c>
      <c r="R139" s="55">
        <f ca="1">-P136*INDEX(tblDebtorCollection[%],MATCH(Calculations!$H139,tblDebtorCollection[Months],0))</f>
        <v>-1582</v>
      </c>
      <c r="S139" s="55">
        <f ca="1">-Q136*INDEX(tblDebtorCollection[%],MATCH(Calculations!$H139,tblDebtorCollection[Months],0))</f>
        <v>-2052</v>
      </c>
      <c r="T139" s="55">
        <f ca="1">-R136*INDEX(tblDebtorCollection[%],MATCH(Calculations!$H139,tblDebtorCollection[Months],0))</f>
        <v>-2662</v>
      </c>
      <c r="U139" s="55">
        <f ca="1">-S136*INDEX(tblDebtorCollection[%],MATCH(Calculations!$H139,tblDebtorCollection[Months],0))</f>
        <v>-3452</v>
      </c>
      <c r="V139" s="55">
        <f ca="1">-T136*INDEX(tblDebtorCollection[%],MATCH(Calculations!$H139,tblDebtorCollection[Months],0))</f>
        <v>-4478</v>
      </c>
      <c r="W139" s="55">
        <f ca="1">-U136*INDEX(tblDebtorCollection[%],MATCH(Calculations!$H139,tblDebtorCollection[Months],0))</f>
        <v>-5814</v>
      </c>
      <c r="X139" s="55">
        <f ca="1">-V136*INDEX(tblDebtorCollection[%],MATCH(Calculations!$H139,tblDebtorCollection[Months],0))</f>
        <v>-7548</v>
      </c>
      <c r="Y139" s="55">
        <f ca="1">-W136*INDEX(tblDebtorCollection[%],MATCH(Calculations!$H139,tblDebtorCollection[Months],0))</f>
        <v>-9800</v>
      </c>
      <c r="Z139" s="55">
        <f ca="1">-X136*INDEX(tblDebtorCollection[%],MATCH(Calculations!$H139,tblDebtorCollection[Months],0))</f>
        <v>-12724</v>
      </c>
      <c r="AA139" s="55">
        <f ca="1">-Y136*INDEX(tblDebtorCollection[%],MATCH(Calculations!$H139,tblDebtorCollection[Months],0))</f>
        <v>-16522</v>
      </c>
      <c r="AB139" s="55">
        <f ca="1">-Z136*INDEX(tblDebtorCollection[%],MATCH(Calculations!$H139,tblDebtorCollection[Months],0))</f>
        <v>-21452</v>
      </c>
      <c r="AC139" s="55">
        <f ca="1">-AA136*INDEX(tblDebtorCollection[%],MATCH(Calculations!$H139,tblDebtorCollection[Months],0))</f>
        <v>-27854</v>
      </c>
      <c r="AD139" s="55">
        <f ca="1">-AB136*INDEX(tblDebtorCollection[%],MATCH(Calculations!$H139,tblDebtorCollection[Months],0))</f>
        <v>-36168</v>
      </c>
      <c r="AE139" s="55">
        <f ca="1">-AC136*INDEX(tblDebtorCollection[%],MATCH(Calculations!$H139,tblDebtorCollection[Months],0))</f>
        <v>-46962</v>
      </c>
      <c r="AF139" s="55">
        <f ca="1">-AD136*INDEX(tblDebtorCollection[%],MATCH(Calculations!$H139,tblDebtorCollection[Months],0))</f>
        <v>-60978</v>
      </c>
      <c r="AG139" s="55">
        <f ca="1">-AE136*INDEX(tblDebtorCollection[%],MATCH(Calculations!$H139,tblDebtorCollection[Months],0))</f>
        <v>-79180</v>
      </c>
      <c r="AH139" s="55">
        <f ca="1">-AF136*INDEX(tblDebtorCollection[%],MATCH(Calculations!$H139,tblDebtorCollection[Months],0))</f>
        <v>-102814</v>
      </c>
      <c r="AI139" s="55">
        <f ca="1">-AG136*INDEX(tblDebtorCollection[%],MATCH(Calculations!$H139,tblDebtorCollection[Months],0))</f>
        <v>-141175</v>
      </c>
      <c r="AJ139" s="55">
        <f ca="1">-AH136*INDEX(tblDebtorCollection[%],MATCH(Calculations!$H139,tblDebtorCollection[Months],0))</f>
        <v>-155080</v>
      </c>
      <c r="AK139" s="55">
        <f ca="1">-AI136*INDEX(tblDebtorCollection[%],MATCH(Calculations!$H139,tblDebtorCollection[Months],0))</f>
        <v>-170352.5</v>
      </c>
      <c r="AL139" s="55">
        <f ca="1">-AJ136*INDEX(tblDebtorCollection[%],MATCH(Calculations!$H139,tblDebtorCollection[Months],0))</f>
        <v>-187130</v>
      </c>
      <c r="AM139" s="55">
        <f ca="1">-AK136*INDEX(tblDebtorCollection[%],MATCH(Calculations!$H139,tblDebtorCollection[Months],0))</f>
        <v>-205560</v>
      </c>
      <c r="AN139" s="55">
        <f ca="1">-AL136*INDEX(tblDebtorCollection[%],MATCH(Calculations!$H139,tblDebtorCollection[Months],0))</f>
        <v>-225805</v>
      </c>
      <c r="AO139" s="55">
        <f ca="1">-AM136*INDEX(tblDebtorCollection[%],MATCH(Calculations!$H139,tblDebtorCollection[Months],0))</f>
        <v>-248045</v>
      </c>
      <c r="AP139" s="55">
        <f ca="1">-AN136*INDEX(tblDebtorCollection[%],MATCH(Calculations!$H139,tblDebtorCollection[Months],0))</f>
        <v>-272477.5</v>
      </c>
      <c r="AQ139" s="55">
        <f ca="1">-AO136*INDEX(tblDebtorCollection[%],MATCH(Calculations!$H139,tblDebtorCollection[Months],0))</f>
        <v>-299315</v>
      </c>
      <c r="AR139" s="55">
        <f ca="1">-AP136*INDEX(tblDebtorCollection[%],MATCH(Calculations!$H139,tblDebtorCollection[Months],0))</f>
        <v>-328797.5</v>
      </c>
      <c r="AS139" s="55">
        <f ca="1">-AQ136*INDEX(tblDebtorCollection[%],MATCH(Calculations!$H139,tblDebtorCollection[Months],0))</f>
        <v>-361182.5</v>
      </c>
      <c r="AT139" s="55">
        <f ca="1">-AR136*INDEX(tblDebtorCollection[%],MATCH(Calculations!$H139,tblDebtorCollection[Months],0))</f>
        <v>-396757.5</v>
      </c>
      <c r="AU139" s="55">
        <f ca="1">-AS136*INDEX(tblDebtorCollection[%],MATCH(Calculations!$H139,tblDebtorCollection[Months],0))</f>
        <v>-436035</v>
      </c>
      <c r="AV139" s="55">
        <f ca="1">-AT136*INDEX(tblDebtorCollection[%],MATCH(Calculations!$H139,tblDebtorCollection[Months],0))</f>
        <v>-479200</v>
      </c>
      <c r="AW139" s="55">
        <f ca="1">-AU136*INDEX(tblDebtorCollection[%],MATCH(Calculations!$H139,tblDebtorCollection[Months],0))</f>
        <v>-526640</v>
      </c>
      <c r="AX139" s="55">
        <f ca="1">-AV136*INDEX(tblDebtorCollection[%],MATCH(Calculations!$H139,tblDebtorCollection[Months],0))</f>
        <v>-578777.5</v>
      </c>
      <c r="AY139" s="55">
        <f ca="1">-AW136*INDEX(tblDebtorCollection[%],MATCH(Calculations!$H139,tblDebtorCollection[Months],0))</f>
        <v>-636075</v>
      </c>
      <c r="AZ139" s="55">
        <f ca="1">-AX136*INDEX(tblDebtorCollection[%],MATCH(Calculations!$H139,tblDebtorCollection[Months],0))</f>
        <v>-699045</v>
      </c>
      <c r="BA139" s="55">
        <f ca="1">-AY136*INDEX(tblDebtorCollection[%],MATCH(Calculations!$H139,tblDebtorCollection[Months],0))</f>
        <v>-768250</v>
      </c>
      <c r="BB139" s="55">
        <f ca="1">-AZ136*INDEX(tblDebtorCollection[%],MATCH(Calculations!$H139,tblDebtorCollection[Months],0))</f>
        <v>-844305</v>
      </c>
      <c r="BC139" s="55">
        <f ca="1">-BA136*INDEX(tblDebtorCollection[%],MATCH(Calculations!$H139,tblDebtorCollection[Months],0))</f>
        <v>-927890</v>
      </c>
      <c r="BD139" s="55">
        <f ca="1">-BB136*INDEX(tblDebtorCollection[%],MATCH(Calculations!$H139,tblDebtorCollection[Months],0))</f>
        <v>-1019750</v>
      </c>
      <c r="BE139" s="55">
        <f ca="1">-BC136*INDEX(tblDebtorCollection[%],MATCH(Calculations!$H139,tblDebtorCollection[Months],0))</f>
        <v>-1120705</v>
      </c>
      <c r="BF139" s="55">
        <f ca="1">-BD136*INDEX(tblDebtorCollection[%],MATCH(Calculations!$H139,tblDebtorCollection[Months],0))</f>
        <v>-1231652.5</v>
      </c>
      <c r="BG139" s="55">
        <f ca="1">-BE136*INDEX(tblDebtorCollection[%],MATCH(Calculations!$H139,tblDebtorCollection[Months],0))</f>
        <v>-1624302</v>
      </c>
      <c r="BH139" s="55">
        <f ca="1">-BF136*INDEX(tblDebtorCollection[%],MATCH(Calculations!$H139,tblDebtorCollection[Months],0))</f>
        <v>-1785105</v>
      </c>
      <c r="BI139" s="55">
        <f ca="1">-BG136*INDEX(tblDebtorCollection[%],MATCH(Calculations!$H139,tblDebtorCollection[Months],0))</f>
        <v>-1961829</v>
      </c>
      <c r="BJ139" s="55">
        <f ca="1">-BH136*INDEX(tblDebtorCollection[%],MATCH(Calculations!$H139,tblDebtorCollection[Months],0))</f>
        <v>-2156049</v>
      </c>
      <c r="BK139" s="55">
        <f ca="1">-BI136*INDEX(tblDebtorCollection[%],MATCH(Calculations!$H139,tblDebtorCollection[Months],0))</f>
        <v>-2369496</v>
      </c>
      <c r="BL139" s="55">
        <f ca="1">-BJ136*INDEX(tblDebtorCollection[%],MATCH(Calculations!$H139,tblDebtorCollection[Months],0))</f>
        <v>-2604075</v>
      </c>
      <c r="BM139" s="55">
        <f ca="1">-BK136*INDEX(tblDebtorCollection[%],MATCH(Calculations!$H139,tblDebtorCollection[Months],0))</f>
        <v>-2861877</v>
      </c>
      <c r="BN139" s="55">
        <f ca="1">-BL136*INDEX(tblDebtorCollection[%],MATCH(Calculations!$H139,tblDebtorCollection[Months],0))</f>
        <v>-3145203</v>
      </c>
      <c r="BO139" s="55">
        <f ca="1">-BM136*INDEX(tblDebtorCollection[%],MATCH(Calculations!$H139,tblDebtorCollection[Months],0))</f>
        <v>-3456576</v>
      </c>
      <c r="BP139" s="55">
        <f ca="1">-BN136*INDEX(tblDebtorCollection[%],MATCH(Calculations!$H139,tblDebtorCollection[Months],0))</f>
        <v>-3798774</v>
      </c>
    </row>
    <row r="140" spans="1:68" x14ac:dyDescent="0.2">
      <c r="F140" s="1" t="s">
        <v>152</v>
      </c>
      <c r="H140" s="1">
        <v>3</v>
      </c>
      <c r="I140" s="55"/>
      <c r="J140" s="55"/>
      <c r="K140" s="55"/>
      <c r="L140" s="55">
        <f ca="1">-I136*INDEX(tblDebtorCollection[%],MATCH(Calculations!$H140,tblDebtorCollection[Months],0))</f>
        <v>-257.99999999999994</v>
      </c>
      <c r="M140" s="55">
        <f ca="1">-J136*INDEX(tblDebtorCollection[%],MATCH(Calculations!$H140,tblDebtorCollection[Months],0))</f>
        <v>-333.99999999999994</v>
      </c>
      <c r="N140" s="55">
        <f ca="1">-K136*INDEX(tblDebtorCollection[%],MATCH(Calculations!$H140,tblDebtorCollection[Months],0))</f>
        <v>-431.99999999999989</v>
      </c>
      <c r="O140" s="55">
        <f ca="1">-L136*INDEX(tblDebtorCollection[%],MATCH(Calculations!$H140,tblDebtorCollection[Months],0))</f>
        <v>-559.99999999999989</v>
      </c>
      <c r="P140" s="55">
        <f ca="1">-M136*INDEX(tblDebtorCollection[%],MATCH(Calculations!$H140,tblDebtorCollection[Months],0))</f>
        <v>-725.99999999999989</v>
      </c>
      <c r="Q140" s="55">
        <f ca="1">-N136*INDEX(tblDebtorCollection[%],MATCH(Calculations!$H140,tblDebtorCollection[Months],0))</f>
        <v>-941.99999999999977</v>
      </c>
      <c r="R140" s="55">
        <f ca="1">-O136*INDEX(tblDebtorCollection[%],MATCH(Calculations!$H140,tblDebtorCollection[Months],0))</f>
        <v>-1219.9999999999998</v>
      </c>
      <c r="S140" s="55">
        <f ca="1">-P136*INDEX(tblDebtorCollection[%],MATCH(Calculations!$H140,tblDebtorCollection[Months],0))</f>
        <v>-1581.9999999999995</v>
      </c>
      <c r="T140" s="55">
        <f ca="1">-Q136*INDEX(tblDebtorCollection[%],MATCH(Calculations!$H140,tblDebtorCollection[Months],0))</f>
        <v>-2051.9999999999995</v>
      </c>
      <c r="U140" s="55">
        <f ca="1">-R136*INDEX(tblDebtorCollection[%],MATCH(Calculations!$H140,tblDebtorCollection[Months],0))</f>
        <v>-2661.9999999999995</v>
      </c>
      <c r="V140" s="55">
        <f ca="1">-S136*INDEX(tblDebtorCollection[%],MATCH(Calculations!$H140,tblDebtorCollection[Months],0))</f>
        <v>-3451.9999999999991</v>
      </c>
      <c r="W140" s="55">
        <f ca="1">-T136*INDEX(tblDebtorCollection[%],MATCH(Calculations!$H140,tblDebtorCollection[Months],0))</f>
        <v>-4477.9999999999991</v>
      </c>
      <c r="X140" s="55">
        <f ca="1">-U136*INDEX(tblDebtorCollection[%],MATCH(Calculations!$H140,tblDebtorCollection[Months],0))</f>
        <v>-5813.9999999999991</v>
      </c>
      <c r="Y140" s="55">
        <f ca="1">-V136*INDEX(tblDebtorCollection[%],MATCH(Calculations!$H140,tblDebtorCollection[Months],0))</f>
        <v>-7547.9999999999982</v>
      </c>
      <c r="Z140" s="55">
        <f ca="1">-W136*INDEX(tblDebtorCollection[%],MATCH(Calculations!$H140,tblDebtorCollection[Months],0))</f>
        <v>-9799.9999999999982</v>
      </c>
      <c r="AA140" s="55">
        <f ca="1">-X136*INDEX(tblDebtorCollection[%],MATCH(Calculations!$H140,tblDebtorCollection[Months],0))</f>
        <v>-12723.999999999996</v>
      </c>
      <c r="AB140" s="55">
        <f ca="1">-Y136*INDEX(tblDebtorCollection[%],MATCH(Calculations!$H140,tblDebtorCollection[Months],0))</f>
        <v>-16521.999999999996</v>
      </c>
      <c r="AC140" s="55">
        <f ca="1">-Z136*INDEX(tblDebtorCollection[%],MATCH(Calculations!$H140,tblDebtorCollection[Months],0))</f>
        <v>-21451.999999999996</v>
      </c>
      <c r="AD140" s="55">
        <f ca="1">-AA136*INDEX(tblDebtorCollection[%],MATCH(Calculations!$H140,tblDebtorCollection[Months],0))</f>
        <v>-27853.999999999993</v>
      </c>
      <c r="AE140" s="55">
        <f ca="1">-AB136*INDEX(tblDebtorCollection[%],MATCH(Calculations!$H140,tblDebtorCollection[Months],0))</f>
        <v>-36167.999999999993</v>
      </c>
      <c r="AF140" s="55">
        <f ca="1">-AC136*INDEX(tblDebtorCollection[%],MATCH(Calculations!$H140,tblDebtorCollection[Months],0))</f>
        <v>-46961.999999999993</v>
      </c>
      <c r="AG140" s="55">
        <f ca="1">-AD136*INDEX(tblDebtorCollection[%],MATCH(Calculations!$H140,tblDebtorCollection[Months],0))</f>
        <v>-60977.999999999985</v>
      </c>
      <c r="AH140" s="55">
        <f ca="1">-AE136*INDEX(tblDebtorCollection[%],MATCH(Calculations!$H140,tblDebtorCollection[Months],0))</f>
        <v>-79179.999999999985</v>
      </c>
      <c r="AI140" s="55">
        <f ca="1">-AF136*INDEX(tblDebtorCollection[%],MATCH(Calculations!$H140,tblDebtorCollection[Months],0))</f>
        <v>-102813.99999999997</v>
      </c>
      <c r="AJ140" s="55">
        <f ca="1">-AG136*INDEX(tblDebtorCollection[%],MATCH(Calculations!$H140,tblDebtorCollection[Months],0))</f>
        <v>-141174.99999999997</v>
      </c>
      <c r="AK140" s="55">
        <f ca="1">-AH136*INDEX(tblDebtorCollection[%],MATCH(Calculations!$H140,tblDebtorCollection[Months],0))</f>
        <v>-155079.99999999997</v>
      </c>
      <c r="AL140" s="55">
        <f ca="1">-AI136*INDEX(tblDebtorCollection[%],MATCH(Calculations!$H140,tblDebtorCollection[Months],0))</f>
        <v>-170352.49999999997</v>
      </c>
      <c r="AM140" s="55">
        <f ca="1">-AJ136*INDEX(tblDebtorCollection[%],MATCH(Calculations!$H140,tblDebtorCollection[Months],0))</f>
        <v>-187129.99999999997</v>
      </c>
      <c r="AN140" s="55">
        <f ca="1">-AK136*INDEX(tblDebtorCollection[%],MATCH(Calculations!$H140,tblDebtorCollection[Months],0))</f>
        <v>-205559.99999999994</v>
      </c>
      <c r="AO140" s="55">
        <f ca="1">-AL136*INDEX(tblDebtorCollection[%],MATCH(Calculations!$H140,tblDebtorCollection[Months],0))</f>
        <v>-225804.99999999994</v>
      </c>
      <c r="AP140" s="55">
        <f ca="1">-AM136*INDEX(tblDebtorCollection[%],MATCH(Calculations!$H140,tblDebtorCollection[Months],0))</f>
        <v>-248044.99999999994</v>
      </c>
      <c r="AQ140" s="55">
        <f ca="1">-AN136*INDEX(tblDebtorCollection[%],MATCH(Calculations!$H140,tblDebtorCollection[Months],0))</f>
        <v>-272477.49999999994</v>
      </c>
      <c r="AR140" s="55">
        <f ca="1">-AO136*INDEX(tblDebtorCollection[%],MATCH(Calculations!$H140,tblDebtorCollection[Months],0))</f>
        <v>-299314.99999999994</v>
      </c>
      <c r="AS140" s="55">
        <f ca="1">-AP136*INDEX(tblDebtorCollection[%],MATCH(Calculations!$H140,tblDebtorCollection[Months],0))</f>
        <v>-328797.49999999994</v>
      </c>
      <c r="AT140" s="55">
        <f ca="1">-AQ136*INDEX(tblDebtorCollection[%],MATCH(Calculations!$H140,tblDebtorCollection[Months],0))</f>
        <v>-361182.49999999994</v>
      </c>
      <c r="AU140" s="55">
        <f ca="1">-AR136*INDEX(tblDebtorCollection[%],MATCH(Calculations!$H140,tblDebtorCollection[Months],0))</f>
        <v>-396757.49999999988</v>
      </c>
      <c r="AV140" s="55">
        <f ca="1">-AS136*INDEX(tblDebtorCollection[%],MATCH(Calculations!$H140,tblDebtorCollection[Months],0))</f>
        <v>-436034.99999999988</v>
      </c>
      <c r="AW140" s="55">
        <f ca="1">-AT136*INDEX(tblDebtorCollection[%],MATCH(Calculations!$H140,tblDebtorCollection[Months],0))</f>
        <v>-479199.99999999988</v>
      </c>
      <c r="AX140" s="55">
        <f ca="1">-AU136*INDEX(tblDebtorCollection[%],MATCH(Calculations!$H140,tblDebtorCollection[Months],0))</f>
        <v>-526639.99999999988</v>
      </c>
      <c r="AY140" s="55">
        <f ca="1">-AV136*INDEX(tblDebtorCollection[%],MATCH(Calculations!$H140,tblDebtorCollection[Months],0))</f>
        <v>-578777.49999999988</v>
      </c>
      <c r="AZ140" s="55">
        <f ca="1">-AW136*INDEX(tblDebtorCollection[%],MATCH(Calculations!$H140,tblDebtorCollection[Months],0))</f>
        <v>-636074.99999999988</v>
      </c>
      <c r="BA140" s="55">
        <f ca="1">-AX136*INDEX(tblDebtorCollection[%],MATCH(Calculations!$H140,tblDebtorCollection[Months],0))</f>
        <v>-699044.99999999988</v>
      </c>
      <c r="BB140" s="55">
        <f ca="1">-AY136*INDEX(tblDebtorCollection[%],MATCH(Calculations!$H140,tblDebtorCollection[Months],0))</f>
        <v>-768249.99999999988</v>
      </c>
      <c r="BC140" s="55">
        <f ca="1">-AZ136*INDEX(tblDebtorCollection[%],MATCH(Calculations!$H140,tblDebtorCollection[Months],0))</f>
        <v>-844304.99999999977</v>
      </c>
      <c r="BD140" s="55">
        <f ca="1">-BA136*INDEX(tblDebtorCollection[%],MATCH(Calculations!$H140,tblDebtorCollection[Months],0))</f>
        <v>-927889.99999999977</v>
      </c>
      <c r="BE140" s="55">
        <f ca="1">-BB136*INDEX(tblDebtorCollection[%],MATCH(Calculations!$H140,tblDebtorCollection[Months],0))</f>
        <v>-1019749.9999999998</v>
      </c>
      <c r="BF140" s="55">
        <f ca="1">-BC136*INDEX(tblDebtorCollection[%],MATCH(Calculations!$H140,tblDebtorCollection[Months],0))</f>
        <v>-1120704.9999999998</v>
      </c>
      <c r="BG140" s="55">
        <f ca="1">-BD136*INDEX(tblDebtorCollection[%],MATCH(Calculations!$H140,tblDebtorCollection[Months],0))</f>
        <v>-1231652.4999999998</v>
      </c>
      <c r="BH140" s="55">
        <f ca="1">-BE136*INDEX(tblDebtorCollection[%],MATCH(Calculations!$H140,tblDebtorCollection[Months],0))</f>
        <v>-1624301.9999999995</v>
      </c>
      <c r="BI140" s="55">
        <f ca="1">-BF136*INDEX(tblDebtorCollection[%],MATCH(Calculations!$H140,tblDebtorCollection[Months],0))</f>
        <v>-1785104.9999999995</v>
      </c>
      <c r="BJ140" s="55">
        <f ca="1">-BG136*INDEX(tblDebtorCollection[%],MATCH(Calculations!$H140,tblDebtorCollection[Months],0))</f>
        <v>-1961828.9999999995</v>
      </c>
      <c r="BK140" s="55">
        <f ca="1">-BH136*INDEX(tblDebtorCollection[%],MATCH(Calculations!$H140,tblDebtorCollection[Months],0))</f>
        <v>-2156048.9999999995</v>
      </c>
      <c r="BL140" s="55">
        <f ca="1">-BI136*INDEX(tblDebtorCollection[%],MATCH(Calculations!$H140,tblDebtorCollection[Months],0))</f>
        <v>-2369495.9999999995</v>
      </c>
      <c r="BM140" s="55">
        <f ca="1">-BJ136*INDEX(tblDebtorCollection[%],MATCH(Calculations!$H140,tblDebtorCollection[Months],0))</f>
        <v>-2604074.9999999995</v>
      </c>
      <c r="BN140" s="55">
        <f ca="1">-BK136*INDEX(tblDebtorCollection[%],MATCH(Calculations!$H140,tblDebtorCollection[Months],0))</f>
        <v>-2861876.9999999995</v>
      </c>
      <c r="BO140" s="55">
        <f ca="1">-BL136*INDEX(tblDebtorCollection[%],MATCH(Calculations!$H140,tblDebtorCollection[Months],0))</f>
        <v>-3145202.9999999995</v>
      </c>
      <c r="BP140" s="55">
        <f ca="1">-BM136*INDEX(tblDebtorCollection[%],MATCH(Calculations!$H140,tblDebtorCollection[Months],0))</f>
        <v>-3456575.9999999991</v>
      </c>
    </row>
    <row r="141" spans="1:68" x14ac:dyDescent="0.2">
      <c r="E141" s="1" t="s">
        <v>153</v>
      </c>
      <c r="I141" s="59">
        <f t="shared" ref="I141:K141" ca="1" si="64">SUM(I135:I140)</f>
        <v>1032</v>
      </c>
      <c r="J141" s="59">
        <f t="shared" ca="1" si="64"/>
        <v>1852</v>
      </c>
      <c r="K141" s="59">
        <f t="shared" ca="1" si="64"/>
        <v>2654</v>
      </c>
      <c r="L141" s="59">
        <f ca="1">SUM(L135:L140)</f>
        <v>3438</v>
      </c>
      <c r="M141" s="59">
        <f t="shared" ref="M141:BP141" ca="1" si="65">SUM(M135:M140)</f>
        <v>4456</v>
      </c>
      <c r="N141" s="59">
        <f t="shared" ca="1" si="65"/>
        <v>5780</v>
      </c>
      <c r="O141" s="59">
        <f t="shared" ca="1" si="65"/>
        <v>7490</v>
      </c>
      <c r="P141" s="59">
        <f t="shared" ca="1" si="65"/>
        <v>9710</v>
      </c>
      <c r="Q141" s="59">
        <f t="shared" ca="1" si="65"/>
        <v>12592</v>
      </c>
      <c r="R141" s="59">
        <f t="shared" ca="1" si="65"/>
        <v>16334</v>
      </c>
      <c r="S141" s="59">
        <f t="shared" ca="1" si="65"/>
        <v>21184</v>
      </c>
      <c r="T141" s="59">
        <f t="shared" ca="1" si="65"/>
        <v>27478</v>
      </c>
      <c r="U141" s="59">
        <f t="shared" ca="1" si="65"/>
        <v>35664</v>
      </c>
      <c r="V141" s="59">
        <f t="shared" ca="1" si="65"/>
        <v>46298</v>
      </c>
      <c r="W141" s="59">
        <f t="shared" ca="1" si="65"/>
        <v>60110</v>
      </c>
      <c r="X141" s="59">
        <f t="shared" ca="1" si="65"/>
        <v>78044</v>
      </c>
      <c r="Y141" s="59">
        <f t="shared" ca="1" si="65"/>
        <v>101336</v>
      </c>
      <c r="Z141" s="59">
        <f t="shared" ca="1" si="65"/>
        <v>131576</v>
      </c>
      <c r="AA141" s="59">
        <f t="shared" ca="1" si="65"/>
        <v>170842</v>
      </c>
      <c r="AB141" s="59">
        <f t="shared" ca="1" si="65"/>
        <v>221832</v>
      </c>
      <c r="AC141" s="59">
        <f t="shared" ca="1" si="65"/>
        <v>288038</v>
      </c>
      <c r="AD141" s="59">
        <f t="shared" ca="1" si="65"/>
        <v>374004</v>
      </c>
      <c r="AE141" s="59">
        <f t="shared" ca="1" si="65"/>
        <v>485638</v>
      </c>
      <c r="AF141" s="59">
        <f t="shared" ca="1" si="65"/>
        <v>630594</v>
      </c>
      <c r="AG141" s="59">
        <f t="shared" ca="1" si="65"/>
        <v>849508</v>
      </c>
      <c r="AH141" s="59">
        <f t="shared" ca="1" si="65"/>
        <v>1005484</v>
      </c>
      <c r="AI141" s="59">
        <f t="shared" ca="1" si="65"/>
        <v>1132745</v>
      </c>
      <c r="AJ141" s="59">
        <f t="shared" ca="1" si="65"/>
        <v>1244305</v>
      </c>
      <c r="AK141" s="59">
        <f t="shared" ca="1" si="65"/>
        <v>1366852.5</v>
      </c>
      <c r="AL141" s="59">
        <f t="shared" ca="1" si="65"/>
        <v>1501470</v>
      </c>
      <c r="AM141" s="59">
        <f t="shared" ca="1" si="65"/>
        <v>1649350</v>
      </c>
      <c r="AN141" s="59">
        <f t="shared" ca="1" si="65"/>
        <v>1811805</v>
      </c>
      <c r="AO141" s="59">
        <f t="shared" ca="1" si="65"/>
        <v>1990260</v>
      </c>
      <c r="AP141" s="59">
        <f t="shared" ca="1" si="65"/>
        <v>2186297.5</v>
      </c>
      <c r="AQ141" s="59">
        <f t="shared" ca="1" si="65"/>
        <v>2401640</v>
      </c>
      <c r="AR141" s="59">
        <f t="shared" ca="1" si="65"/>
        <v>2638192.5</v>
      </c>
      <c r="AS141" s="59">
        <f t="shared" ca="1" si="65"/>
        <v>2898837.5</v>
      </c>
      <c r="AT141" s="59">
        <f t="shared" ca="1" si="65"/>
        <v>3185627.5</v>
      </c>
      <c r="AU141" s="59">
        <f t="shared" ca="1" si="65"/>
        <v>3500995</v>
      </c>
      <c r="AV141" s="59">
        <f t="shared" ca="1" si="65"/>
        <v>3847590</v>
      </c>
      <c r="AW141" s="59">
        <f t="shared" ca="1" si="65"/>
        <v>4228495</v>
      </c>
      <c r="AX141" s="59">
        <f t="shared" ca="1" si="65"/>
        <v>4647107.5</v>
      </c>
      <c r="AY141" s="59">
        <f t="shared" ca="1" si="65"/>
        <v>5107165</v>
      </c>
      <c r="AZ141" s="59">
        <f t="shared" ca="1" si="65"/>
        <v>5612765</v>
      </c>
      <c r="BA141" s="59">
        <f t="shared" ca="1" si="65"/>
        <v>6168420</v>
      </c>
      <c r="BB141" s="59">
        <f t="shared" ca="1" si="65"/>
        <v>6779085</v>
      </c>
      <c r="BC141" s="59">
        <f t="shared" ca="1" si="65"/>
        <v>7450210</v>
      </c>
      <c r="BD141" s="59">
        <f t="shared" ca="1" si="65"/>
        <v>8187770</v>
      </c>
      <c r="BE141" s="59">
        <f t="shared" ca="1" si="65"/>
        <v>10081218</v>
      </c>
      <c r="BF141" s="59">
        <f t="shared" ca="1" si="65"/>
        <v>11620676.5</v>
      </c>
      <c r="BG141" s="59">
        <f t="shared" ca="1" si="65"/>
        <v>13041828</v>
      </c>
      <c r="BH141" s="59">
        <f t="shared" ca="1" si="65"/>
        <v>14332959</v>
      </c>
      <c r="BI141" s="59">
        <f t="shared" ca="1" si="65"/>
        <v>15751911</v>
      </c>
      <c r="BJ141" s="59">
        <f t="shared" ca="1" si="65"/>
        <v>17311341</v>
      </c>
      <c r="BK141" s="59">
        <f t="shared" ca="1" si="65"/>
        <v>19025154</v>
      </c>
      <c r="BL141" s="59">
        <f t="shared" ca="1" si="65"/>
        <v>20908641</v>
      </c>
      <c r="BM141" s="59">
        <f t="shared" ca="1" si="65"/>
        <v>22978587</v>
      </c>
      <c r="BN141" s="59">
        <f t="shared" ca="1" si="65"/>
        <v>25253451</v>
      </c>
      <c r="BO141" s="59">
        <f t="shared" ca="1" si="65"/>
        <v>27753528</v>
      </c>
      <c r="BP141" s="59">
        <f t="shared" ca="1" si="65"/>
        <v>30501120</v>
      </c>
    </row>
    <row r="143" spans="1:68" x14ac:dyDescent="0.2">
      <c r="D143" s="1" t="s">
        <v>154</v>
      </c>
    </row>
    <row r="144" spans="1:68" x14ac:dyDescent="0.2">
      <c r="E144" s="1" t="s">
        <v>149</v>
      </c>
      <c r="I144" s="55">
        <f>H147</f>
        <v>0</v>
      </c>
      <c r="J144" s="55">
        <f t="shared" ref="J144:BP144" si="66">I147</f>
        <v>3400</v>
      </c>
      <c r="K144" s="55">
        <f t="shared" si="66"/>
        <v>5400</v>
      </c>
      <c r="L144" s="55">
        <f t="shared" si="66"/>
        <v>15000</v>
      </c>
      <c r="M144" s="55">
        <f t="shared" si="66"/>
        <v>20000</v>
      </c>
      <c r="N144" s="55">
        <f t="shared" si="66"/>
        <v>22000</v>
      </c>
      <c r="O144" s="55">
        <f t="shared" si="66"/>
        <v>28000</v>
      </c>
      <c r="P144" s="55">
        <f t="shared" si="66"/>
        <v>34000</v>
      </c>
      <c r="Q144" s="55">
        <f t="shared" si="66"/>
        <v>34000</v>
      </c>
      <c r="R144" s="55">
        <f t="shared" si="66"/>
        <v>38000</v>
      </c>
      <c r="S144" s="55">
        <f t="shared" si="66"/>
        <v>44000</v>
      </c>
      <c r="T144" s="55">
        <f t="shared" si="66"/>
        <v>50000</v>
      </c>
      <c r="U144" s="55">
        <f t="shared" si="66"/>
        <v>56000</v>
      </c>
      <c r="V144" s="55">
        <f t="shared" si="66"/>
        <v>60000</v>
      </c>
      <c r="W144" s="55">
        <f t="shared" si="66"/>
        <v>66000</v>
      </c>
      <c r="X144" s="55">
        <f t="shared" si="66"/>
        <v>72000</v>
      </c>
      <c r="Y144" s="55">
        <f t="shared" si="66"/>
        <v>76000</v>
      </c>
      <c r="Z144" s="55">
        <f t="shared" si="66"/>
        <v>82000</v>
      </c>
      <c r="AA144" s="55">
        <f t="shared" si="66"/>
        <v>88000</v>
      </c>
      <c r="AB144" s="55">
        <f t="shared" si="66"/>
        <v>92000</v>
      </c>
      <c r="AC144" s="55">
        <f t="shared" si="66"/>
        <v>96000</v>
      </c>
      <c r="AD144" s="55">
        <f t="shared" si="66"/>
        <v>106000</v>
      </c>
      <c r="AE144" s="55">
        <f t="shared" si="66"/>
        <v>110000</v>
      </c>
      <c r="AF144" s="55">
        <f t="shared" si="66"/>
        <v>114000</v>
      </c>
      <c r="AG144" s="55">
        <f t="shared" si="66"/>
        <v>122000</v>
      </c>
      <c r="AH144" s="55">
        <f t="shared" si="66"/>
        <v>126000</v>
      </c>
      <c r="AI144" s="55">
        <f t="shared" si="66"/>
        <v>132000</v>
      </c>
      <c r="AJ144" s="55">
        <f t="shared" si="66"/>
        <v>138000</v>
      </c>
      <c r="AK144" s="55">
        <f t="shared" si="66"/>
        <v>142000</v>
      </c>
      <c r="AL144" s="55">
        <f t="shared" si="66"/>
        <v>148000</v>
      </c>
      <c r="AM144" s="55">
        <f t="shared" si="66"/>
        <v>156000</v>
      </c>
      <c r="AN144" s="55">
        <f t="shared" si="66"/>
        <v>160000</v>
      </c>
      <c r="AO144" s="55">
        <f t="shared" si="66"/>
        <v>164000</v>
      </c>
      <c r="AP144" s="55">
        <f t="shared" si="66"/>
        <v>172000</v>
      </c>
      <c r="AQ144" s="55">
        <f t="shared" si="66"/>
        <v>176000</v>
      </c>
      <c r="AR144" s="55">
        <f t="shared" si="66"/>
        <v>182000</v>
      </c>
      <c r="AS144" s="55">
        <f t="shared" si="66"/>
        <v>188000</v>
      </c>
      <c r="AT144" s="55">
        <f t="shared" si="66"/>
        <v>188000</v>
      </c>
      <c r="AU144" s="55">
        <f t="shared" si="66"/>
        <v>188000</v>
      </c>
      <c r="AV144" s="55">
        <f t="shared" si="66"/>
        <v>188000</v>
      </c>
      <c r="AW144" s="55">
        <f t="shared" si="66"/>
        <v>188000</v>
      </c>
      <c r="AX144" s="55">
        <f t="shared" si="66"/>
        <v>188000</v>
      </c>
      <c r="AY144" s="55">
        <f t="shared" si="66"/>
        <v>188000</v>
      </c>
      <c r="AZ144" s="55">
        <f t="shared" si="66"/>
        <v>188000</v>
      </c>
      <c r="BA144" s="55">
        <f t="shared" si="66"/>
        <v>188000</v>
      </c>
      <c r="BB144" s="55">
        <f t="shared" si="66"/>
        <v>188000</v>
      </c>
      <c r="BC144" s="55">
        <f t="shared" si="66"/>
        <v>188000</v>
      </c>
      <c r="BD144" s="55">
        <f t="shared" si="66"/>
        <v>188000</v>
      </c>
      <c r="BE144" s="55">
        <f t="shared" si="66"/>
        <v>188000</v>
      </c>
      <c r="BF144" s="55">
        <f t="shared" si="66"/>
        <v>188000</v>
      </c>
      <c r="BG144" s="55">
        <f t="shared" si="66"/>
        <v>188000</v>
      </c>
      <c r="BH144" s="55">
        <f t="shared" si="66"/>
        <v>188000</v>
      </c>
      <c r="BI144" s="55">
        <f t="shared" si="66"/>
        <v>188000</v>
      </c>
      <c r="BJ144" s="55">
        <f t="shared" si="66"/>
        <v>188000</v>
      </c>
      <c r="BK144" s="55">
        <f t="shared" si="66"/>
        <v>188000</v>
      </c>
      <c r="BL144" s="55">
        <f t="shared" si="66"/>
        <v>188000</v>
      </c>
      <c r="BM144" s="55">
        <f t="shared" si="66"/>
        <v>188000</v>
      </c>
      <c r="BN144" s="55">
        <f t="shared" si="66"/>
        <v>188000</v>
      </c>
      <c r="BO144" s="55">
        <f t="shared" si="66"/>
        <v>188000</v>
      </c>
      <c r="BP144" s="55">
        <f t="shared" si="66"/>
        <v>188000</v>
      </c>
    </row>
    <row r="145" spans="4:68" x14ac:dyDescent="0.2">
      <c r="F145" s="1" t="s">
        <v>155</v>
      </c>
      <c r="H145" s="55">
        <f>AssmLaptop</f>
        <v>2000</v>
      </c>
      <c r="I145" s="57">
        <f>SUM(I27:I32,I53:I56)*$H145</f>
        <v>3400</v>
      </c>
      <c r="J145" s="55">
        <f t="shared" ref="J145:AO145" si="67">(SUM(J27:J32,J53:J56)-SUM(I27:I32,I53:I56))*$H145</f>
        <v>2000.0000000000005</v>
      </c>
      <c r="K145" s="55">
        <f t="shared" si="67"/>
        <v>9600</v>
      </c>
      <c r="L145" s="55">
        <f t="shared" si="67"/>
        <v>5000</v>
      </c>
      <c r="M145" s="55">
        <f t="shared" si="67"/>
        <v>2000</v>
      </c>
      <c r="N145" s="55">
        <f t="shared" si="67"/>
        <v>6000</v>
      </c>
      <c r="O145" s="55">
        <f t="shared" si="67"/>
        <v>6000</v>
      </c>
      <c r="P145" s="55">
        <f t="shared" si="67"/>
        <v>0</v>
      </c>
      <c r="Q145" s="55">
        <f t="shared" si="67"/>
        <v>4000</v>
      </c>
      <c r="R145" s="55">
        <f t="shared" si="67"/>
        <v>6000</v>
      </c>
      <c r="S145" s="55">
        <f t="shared" si="67"/>
        <v>6000</v>
      </c>
      <c r="T145" s="55">
        <f t="shared" si="67"/>
        <v>6000</v>
      </c>
      <c r="U145" s="55">
        <f t="shared" si="67"/>
        <v>4000</v>
      </c>
      <c r="V145" s="55">
        <f t="shared" si="67"/>
        <v>6000</v>
      </c>
      <c r="W145" s="55">
        <f t="shared" si="67"/>
        <v>6000</v>
      </c>
      <c r="X145" s="55">
        <f t="shared" si="67"/>
        <v>4000</v>
      </c>
      <c r="Y145" s="55">
        <f t="shared" si="67"/>
        <v>6000</v>
      </c>
      <c r="Z145" s="55">
        <f t="shared" si="67"/>
        <v>6000</v>
      </c>
      <c r="AA145" s="55">
        <f t="shared" si="67"/>
        <v>4000</v>
      </c>
      <c r="AB145" s="55">
        <f t="shared" si="67"/>
        <v>4000</v>
      </c>
      <c r="AC145" s="55">
        <f t="shared" si="67"/>
        <v>10000</v>
      </c>
      <c r="AD145" s="55">
        <f t="shared" si="67"/>
        <v>4000</v>
      </c>
      <c r="AE145" s="55">
        <f t="shared" si="67"/>
        <v>4000</v>
      </c>
      <c r="AF145" s="55">
        <f t="shared" si="67"/>
        <v>8000</v>
      </c>
      <c r="AG145" s="55">
        <f t="shared" si="67"/>
        <v>4000</v>
      </c>
      <c r="AH145" s="55">
        <f t="shared" si="67"/>
        <v>6000</v>
      </c>
      <c r="AI145" s="55">
        <f t="shared" si="67"/>
        <v>6000</v>
      </c>
      <c r="AJ145" s="55">
        <f t="shared" si="67"/>
        <v>4000</v>
      </c>
      <c r="AK145" s="55">
        <f t="shared" si="67"/>
        <v>6000</v>
      </c>
      <c r="AL145" s="55">
        <f t="shared" si="67"/>
        <v>8000</v>
      </c>
      <c r="AM145" s="55">
        <f t="shared" si="67"/>
        <v>4000</v>
      </c>
      <c r="AN145" s="55">
        <f t="shared" si="67"/>
        <v>4000</v>
      </c>
      <c r="AO145" s="55">
        <f t="shared" si="67"/>
        <v>8000</v>
      </c>
      <c r="AP145" s="55">
        <f t="shared" ref="AP145:BP145" si="68">(SUM(AP27:AP32,AP53:AP56)-SUM(AO27:AO32,AO53:AO56))*$H145</f>
        <v>4000</v>
      </c>
      <c r="AQ145" s="55">
        <f t="shared" si="68"/>
        <v>6000</v>
      </c>
      <c r="AR145" s="55">
        <f t="shared" si="68"/>
        <v>6000</v>
      </c>
      <c r="AS145" s="55">
        <f t="shared" si="68"/>
        <v>0</v>
      </c>
      <c r="AT145" s="55">
        <f t="shared" si="68"/>
        <v>0</v>
      </c>
      <c r="AU145" s="55">
        <f t="shared" si="68"/>
        <v>0</v>
      </c>
      <c r="AV145" s="55">
        <f t="shared" si="68"/>
        <v>0</v>
      </c>
      <c r="AW145" s="55">
        <f t="shared" si="68"/>
        <v>0</v>
      </c>
      <c r="AX145" s="55">
        <f t="shared" si="68"/>
        <v>0</v>
      </c>
      <c r="AY145" s="55">
        <f t="shared" si="68"/>
        <v>0</v>
      </c>
      <c r="AZ145" s="55">
        <f t="shared" si="68"/>
        <v>0</v>
      </c>
      <c r="BA145" s="55">
        <f t="shared" si="68"/>
        <v>0</v>
      </c>
      <c r="BB145" s="55">
        <f t="shared" si="68"/>
        <v>0</v>
      </c>
      <c r="BC145" s="55">
        <f t="shared" si="68"/>
        <v>0</v>
      </c>
      <c r="BD145" s="55">
        <f t="shared" si="68"/>
        <v>0</v>
      </c>
      <c r="BE145" s="55">
        <f t="shared" si="68"/>
        <v>0</v>
      </c>
      <c r="BF145" s="55">
        <f t="shared" si="68"/>
        <v>0</v>
      </c>
      <c r="BG145" s="55">
        <f t="shared" si="68"/>
        <v>0</v>
      </c>
      <c r="BH145" s="55">
        <f t="shared" si="68"/>
        <v>0</v>
      </c>
      <c r="BI145" s="55">
        <f t="shared" si="68"/>
        <v>0</v>
      </c>
      <c r="BJ145" s="55">
        <f t="shared" si="68"/>
        <v>0</v>
      </c>
      <c r="BK145" s="55">
        <f t="shared" si="68"/>
        <v>0</v>
      </c>
      <c r="BL145" s="55">
        <f t="shared" si="68"/>
        <v>0</v>
      </c>
      <c r="BM145" s="55">
        <f t="shared" si="68"/>
        <v>0</v>
      </c>
      <c r="BN145" s="55">
        <f t="shared" si="68"/>
        <v>0</v>
      </c>
      <c r="BO145" s="55">
        <f t="shared" si="68"/>
        <v>0</v>
      </c>
      <c r="BP145" s="55">
        <f t="shared" si="68"/>
        <v>0</v>
      </c>
    </row>
    <row r="146" spans="4:68" x14ac:dyDescent="0.2">
      <c r="F146" s="1" t="s">
        <v>156</v>
      </c>
      <c r="I146" s="55"/>
      <c r="J146" s="55"/>
      <c r="K146" s="55"/>
      <c r="L146" s="55"/>
      <c r="M146" s="55"/>
      <c r="N146" s="55"/>
      <c r="O146" s="55"/>
      <c r="P146" s="55"/>
      <c r="Q146" s="55"/>
      <c r="R146" s="55"/>
      <c r="S146" s="55"/>
      <c r="T146" s="55"/>
      <c r="U146" s="55"/>
      <c r="V146" s="55"/>
      <c r="W146" s="55"/>
      <c r="X146" s="55"/>
      <c r="Y146" s="55"/>
      <c r="Z146" s="55"/>
      <c r="AA146" s="55"/>
      <c r="AB146" s="55"/>
      <c r="AC146" s="55"/>
      <c r="AD146" s="55"/>
      <c r="AE146" s="55"/>
      <c r="AF146" s="55"/>
      <c r="AG146" s="55"/>
      <c r="AH146" s="55"/>
      <c r="AI146" s="55"/>
      <c r="AJ146" s="55"/>
      <c r="AK146" s="55"/>
      <c r="AL146" s="55"/>
      <c r="AM146" s="55"/>
      <c r="AN146" s="55"/>
      <c r="AO146" s="55"/>
      <c r="AP146" s="55"/>
      <c r="AQ146" s="55"/>
      <c r="AR146" s="55"/>
      <c r="AS146" s="55"/>
      <c r="AT146" s="55"/>
      <c r="AU146" s="55"/>
      <c r="AV146" s="55"/>
      <c r="AW146" s="55"/>
      <c r="AX146" s="55"/>
      <c r="AY146" s="55"/>
      <c r="AZ146" s="55"/>
      <c r="BA146" s="55"/>
      <c r="BB146" s="55"/>
      <c r="BC146" s="55"/>
      <c r="BD146" s="55"/>
      <c r="BE146" s="55"/>
      <c r="BF146" s="55"/>
      <c r="BG146" s="55"/>
      <c r="BH146" s="55"/>
      <c r="BI146" s="55"/>
      <c r="BJ146" s="55"/>
      <c r="BK146" s="55"/>
      <c r="BL146" s="55"/>
      <c r="BM146" s="55"/>
      <c r="BN146" s="55"/>
      <c r="BO146" s="55"/>
      <c r="BP146" s="55"/>
    </row>
    <row r="147" spans="4:68" x14ac:dyDescent="0.2">
      <c r="E147" s="1" t="s">
        <v>153</v>
      </c>
      <c r="I147" s="59">
        <f>SUM(I144:I146)</f>
        <v>3400</v>
      </c>
      <c r="J147" s="59">
        <f t="shared" ref="J147:BP147" si="69">SUM(J144:J146)</f>
        <v>5400</v>
      </c>
      <c r="K147" s="59">
        <f t="shared" si="69"/>
        <v>15000</v>
      </c>
      <c r="L147" s="59">
        <f t="shared" si="69"/>
        <v>20000</v>
      </c>
      <c r="M147" s="59">
        <f t="shared" si="69"/>
        <v>22000</v>
      </c>
      <c r="N147" s="59">
        <f t="shared" si="69"/>
        <v>28000</v>
      </c>
      <c r="O147" s="59">
        <f t="shared" si="69"/>
        <v>34000</v>
      </c>
      <c r="P147" s="59">
        <f t="shared" si="69"/>
        <v>34000</v>
      </c>
      <c r="Q147" s="59">
        <f t="shared" si="69"/>
        <v>38000</v>
      </c>
      <c r="R147" s="59">
        <f t="shared" si="69"/>
        <v>44000</v>
      </c>
      <c r="S147" s="59">
        <f t="shared" si="69"/>
        <v>50000</v>
      </c>
      <c r="T147" s="59">
        <f t="shared" si="69"/>
        <v>56000</v>
      </c>
      <c r="U147" s="59">
        <f t="shared" si="69"/>
        <v>60000</v>
      </c>
      <c r="V147" s="59">
        <f t="shared" si="69"/>
        <v>66000</v>
      </c>
      <c r="W147" s="59">
        <f t="shared" si="69"/>
        <v>72000</v>
      </c>
      <c r="X147" s="59">
        <f t="shared" si="69"/>
        <v>76000</v>
      </c>
      <c r="Y147" s="59">
        <f t="shared" si="69"/>
        <v>82000</v>
      </c>
      <c r="Z147" s="59">
        <f t="shared" si="69"/>
        <v>88000</v>
      </c>
      <c r="AA147" s="59">
        <f t="shared" si="69"/>
        <v>92000</v>
      </c>
      <c r="AB147" s="59">
        <f t="shared" si="69"/>
        <v>96000</v>
      </c>
      <c r="AC147" s="59">
        <f t="shared" si="69"/>
        <v>106000</v>
      </c>
      <c r="AD147" s="59">
        <f t="shared" si="69"/>
        <v>110000</v>
      </c>
      <c r="AE147" s="59">
        <f t="shared" si="69"/>
        <v>114000</v>
      </c>
      <c r="AF147" s="59">
        <f t="shared" si="69"/>
        <v>122000</v>
      </c>
      <c r="AG147" s="59">
        <f t="shared" si="69"/>
        <v>126000</v>
      </c>
      <c r="AH147" s="59">
        <f t="shared" si="69"/>
        <v>132000</v>
      </c>
      <c r="AI147" s="59">
        <f t="shared" si="69"/>
        <v>138000</v>
      </c>
      <c r="AJ147" s="59">
        <f t="shared" si="69"/>
        <v>142000</v>
      </c>
      <c r="AK147" s="59">
        <f t="shared" si="69"/>
        <v>148000</v>
      </c>
      <c r="AL147" s="59">
        <f t="shared" si="69"/>
        <v>156000</v>
      </c>
      <c r="AM147" s="59">
        <f t="shared" si="69"/>
        <v>160000</v>
      </c>
      <c r="AN147" s="59">
        <f t="shared" si="69"/>
        <v>164000</v>
      </c>
      <c r="AO147" s="59">
        <f t="shared" si="69"/>
        <v>172000</v>
      </c>
      <c r="AP147" s="59">
        <f t="shared" si="69"/>
        <v>176000</v>
      </c>
      <c r="AQ147" s="59">
        <f t="shared" si="69"/>
        <v>182000</v>
      </c>
      <c r="AR147" s="59">
        <f t="shared" si="69"/>
        <v>188000</v>
      </c>
      <c r="AS147" s="59">
        <f t="shared" si="69"/>
        <v>188000</v>
      </c>
      <c r="AT147" s="59">
        <f t="shared" si="69"/>
        <v>188000</v>
      </c>
      <c r="AU147" s="59">
        <f t="shared" si="69"/>
        <v>188000</v>
      </c>
      <c r="AV147" s="59">
        <f t="shared" si="69"/>
        <v>188000</v>
      </c>
      <c r="AW147" s="59">
        <f t="shared" si="69"/>
        <v>188000</v>
      </c>
      <c r="AX147" s="59">
        <f t="shared" si="69"/>
        <v>188000</v>
      </c>
      <c r="AY147" s="59">
        <f t="shared" si="69"/>
        <v>188000</v>
      </c>
      <c r="AZ147" s="59">
        <f t="shared" si="69"/>
        <v>188000</v>
      </c>
      <c r="BA147" s="59">
        <f t="shared" si="69"/>
        <v>188000</v>
      </c>
      <c r="BB147" s="59">
        <f t="shared" si="69"/>
        <v>188000</v>
      </c>
      <c r="BC147" s="59">
        <f t="shared" si="69"/>
        <v>188000</v>
      </c>
      <c r="BD147" s="59">
        <f t="shared" si="69"/>
        <v>188000</v>
      </c>
      <c r="BE147" s="59">
        <f t="shared" si="69"/>
        <v>188000</v>
      </c>
      <c r="BF147" s="59">
        <f t="shared" si="69"/>
        <v>188000</v>
      </c>
      <c r="BG147" s="59">
        <f t="shared" si="69"/>
        <v>188000</v>
      </c>
      <c r="BH147" s="59">
        <f t="shared" si="69"/>
        <v>188000</v>
      </c>
      <c r="BI147" s="59">
        <f t="shared" si="69"/>
        <v>188000</v>
      </c>
      <c r="BJ147" s="59">
        <f t="shared" si="69"/>
        <v>188000</v>
      </c>
      <c r="BK147" s="59">
        <f t="shared" si="69"/>
        <v>188000</v>
      </c>
      <c r="BL147" s="59">
        <f t="shared" si="69"/>
        <v>188000</v>
      </c>
      <c r="BM147" s="59">
        <f t="shared" si="69"/>
        <v>188000</v>
      </c>
      <c r="BN147" s="59">
        <f t="shared" si="69"/>
        <v>188000</v>
      </c>
      <c r="BO147" s="59">
        <f t="shared" si="69"/>
        <v>188000</v>
      </c>
      <c r="BP147" s="59">
        <f t="shared" si="69"/>
        <v>188000</v>
      </c>
    </row>
    <row r="149" spans="4:68" x14ac:dyDescent="0.2">
      <c r="D149" s="1" t="s">
        <v>157</v>
      </c>
    </row>
    <row r="150" spans="4:68" x14ac:dyDescent="0.2">
      <c r="E150" s="1" t="s">
        <v>149</v>
      </c>
      <c r="I150" s="55">
        <f>H153</f>
        <v>0</v>
      </c>
      <c r="J150" s="55">
        <f t="shared" ref="J150:BP150" ca="1" si="70">I153</f>
        <v>141.66666666666666</v>
      </c>
      <c r="K150" s="55">
        <f t="shared" ca="1" si="70"/>
        <v>366.66666666666663</v>
      </c>
      <c r="L150" s="55">
        <f t="shared" ca="1" si="70"/>
        <v>991.66666666666663</v>
      </c>
      <c r="M150" s="55">
        <f t="shared" ca="1" si="70"/>
        <v>1825</v>
      </c>
      <c r="N150" s="55">
        <f t="shared" ca="1" si="70"/>
        <v>2741.666666666667</v>
      </c>
      <c r="O150" s="55">
        <f t="shared" ca="1" si="70"/>
        <v>3908.3333333333339</v>
      </c>
      <c r="P150" s="55">
        <f t="shared" ca="1" si="70"/>
        <v>5325.0000000000009</v>
      </c>
      <c r="Q150" s="55">
        <f t="shared" ca="1" si="70"/>
        <v>6741.6666666666679</v>
      </c>
      <c r="R150" s="55">
        <f t="shared" ca="1" si="70"/>
        <v>8325.0000000000018</v>
      </c>
      <c r="S150" s="55">
        <f t="shared" ca="1" si="70"/>
        <v>10158.333333333336</v>
      </c>
      <c r="T150" s="55">
        <f t="shared" ca="1" si="70"/>
        <v>12241.66666666667</v>
      </c>
      <c r="U150" s="55">
        <f t="shared" ca="1" si="70"/>
        <v>14575.000000000004</v>
      </c>
      <c r="V150" s="55">
        <f t="shared" ca="1" si="70"/>
        <v>17075.000000000004</v>
      </c>
      <c r="W150" s="55">
        <f t="shared" ca="1" si="70"/>
        <v>19825.000000000004</v>
      </c>
      <c r="X150" s="55">
        <f t="shared" ca="1" si="70"/>
        <v>22825.000000000004</v>
      </c>
      <c r="Y150" s="55">
        <f t="shared" ca="1" si="70"/>
        <v>25991.666666666672</v>
      </c>
      <c r="Z150" s="55">
        <f t="shared" ca="1" si="70"/>
        <v>29408.333333333339</v>
      </c>
      <c r="AA150" s="55">
        <f t="shared" ca="1" si="70"/>
        <v>33075.000000000007</v>
      </c>
      <c r="AB150" s="55">
        <f t="shared" ca="1" si="70"/>
        <v>36908.333333333343</v>
      </c>
      <c r="AC150" s="55">
        <f t="shared" ca="1" si="70"/>
        <v>40908.333333333343</v>
      </c>
      <c r="AD150" s="55">
        <f t="shared" ca="1" si="70"/>
        <v>45325.000000000007</v>
      </c>
      <c r="AE150" s="55">
        <f t="shared" ca="1" si="70"/>
        <v>49908.333333333343</v>
      </c>
      <c r="AF150" s="55">
        <f t="shared" ca="1" si="70"/>
        <v>54658.333333333343</v>
      </c>
      <c r="AG150" s="55">
        <f t="shared" ca="1" si="70"/>
        <v>59741.666666666679</v>
      </c>
      <c r="AH150" s="55">
        <f t="shared" ca="1" si="70"/>
        <v>64850.000000000015</v>
      </c>
      <c r="AI150" s="55">
        <f t="shared" ca="1" si="70"/>
        <v>70125.000000000015</v>
      </c>
      <c r="AJ150" s="55">
        <f t="shared" ca="1" si="70"/>
        <v>75250.000000000015</v>
      </c>
      <c r="AK150" s="55">
        <f t="shared" ca="1" si="70"/>
        <v>80333.333333333343</v>
      </c>
      <c r="AL150" s="55">
        <f t="shared" ca="1" si="70"/>
        <v>85583.333333333343</v>
      </c>
      <c r="AM150" s="55">
        <f t="shared" ca="1" si="70"/>
        <v>90916.666666666672</v>
      </c>
      <c r="AN150" s="55">
        <f t="shared" ca="1" si="70"/>
        <v>96166.666666666672</v>
      </c>
      <c r="AO150" s="55">
        <f t="shared" ca="1" si="70"/>
        <v>101583.33333333334</v>
      </c>
      <c r="AP150" s="55">
        <f t="shared" ca="1" si="70"/>
        <v>107166.66666666667</v>
      </c>
      <c r="AQ150" s="55">
        <f t="shared" ca="1" si="70"/>
        <v>112666.66666666667</v>
      </c>
      <c r="AR150" s="55">
        <f t="shared" ca="1" si="70"/>
        <v>118166.66666666667</v>
      </c>
      <c r="AS150" s="55">
        <f t="shared" ca="1" si="70"/>
        <v>123666.66666666667</v>
      </c>
      <c r="AT150" s="55">
        <f t="shared" ca="1" si="70"/>
        <v>129000</v>
      </c>
      <c r="AU150" s="55">
        <f t="shared" ca="1" si="70"/>
        <v>134083.33333333334</v>
      </c>
      <c r="AV150" s="55">
        <f t="shared" ca="1" si="70"/>
        <v>138916.66666666669</v>
      </c>
      <c r="AW150" s="55">
        <f t="shared" ca="1" si="70"/>
        <v>143583.33333333334</v>
      </c>
      <c r="AX150" s="55">
        <f t="shared" ca="1" si="70"/>
        <v>148000</v>
      </c>
      <c r="AY150" s="55">
        <f t="shared" ca="1" si="70"/>
        <v>152166.66666666666</v>
      </c>
      <c r="AZ150" s="55">
        <f t="shared" ca="1" si="70"/>
        <v>156166.66666666666</v>
      </c>
      <c r="BA150" s="55">
        <f t="shared" ca="1" si="70"/>
        <v>160000</v>
      </c>
      <c r="BB150" s="55">
        <f t="shared" ca="1" si="70"/>
        <v>163416.66666666666</v>
      </c>
      <c r="BC150" s="55">
        <f t="shared" ca="1" si="70"/>
        <v>166666.66666666666</v>
      </c>
      <c r="BD150" s="55">
        <f t="shared" ca="1" si="70"/>
        <v>169750</v>
      </c>
      <c r="BE150" s="55">
        <f t="shared" ca="1" si="70"/>
        <v>172500</v>
      </c>
      <c r="BF150" s="55">
        <f t="shared" ca="1" si="70"/>
        <v>175083.33333333334</v>
      </c>
      <c r="BG150" s="55">
        <f t="shared" ca="1" si="70"/>
        <v>177416.66666666669</v>
      </c>
      <c r="BH150" s="55">
        <f t="shared" ca="1" si="70"/>
        <v>179500.00000000003</v>
      </c>
      <c r="BI150" s="55">
        <f t="shared" ca="1" si="70"/>
        <v>181416.66666666669</v>
      </c>
      <c r="BJ150" s="55">
        <f t="shared" ca="1" si="70"/>
        <v>183083.33333333334</v>
      </c>
      <c r="BK150" s="55">
        <f t="shared" ca="1" si="70"/>
        <v>184416.66666666669</v>
      </c>
      <c r="BL150" s="55">
        <f t="shared" ca="1" si="70"/>
        <v>185583.33333333334</v>
      </c>
      <c r="BM150" s="55">
        <f t="shared" ca="1" si="70"/>
        <v>186583.33333333334</v>
      </c>
      <c r="BN150" s="55">
        <f t="shared" ca="1" si="70"/>
        <v>187250</v>
      </c>
      <c r="BO150" s="55">
        <f t="shared" ca="1" si="70"/>
        <v>187750</v>
      </c>
      <c r="BP150" s="55">
        <f t="shared" ca="1" si="70"/>
        <v>188000</v>
      </c>
    </row>
    <row r="151" spans="4:68" x14ac:dyDescent="0.2">
      <c r="F151" s="1" t="s">
        <v>121</v>
      </c>
      <c r="I151" s="61">
        <f t="shared" ref="I151:AN151" ca="1" si="71">H151+I145/AssmLaptopLife-IF(I7&gt;AssmLaptopLife,OFFSET(I145,0,-AssmLaptopLife)/AssmLaptopLife,0)</f>
        <v>141.66666666666666</v>
      </c>
      <c r="J151" s="55">
        <f t="shared" ca="1" si="71"/>
        <v>225</v>
      </c>
      <c r="K151" s="55">
        <f t="shared" ca="1" si="71"/>
        <v>625</v>
      </c>
      <c r="L151" s="55">
        <f t="shared" ca="1" si="71"/>
        <v>833.33333333333337</v>
      </c>
      <c r="M151" s="55">
        <f t="shared" ca="1" si="71"/>
        <v>916.66666666666674</v>
      </c>
      <c r="N151" s="55">
        <f t="shared" ca="1" si="71"/>
        <v>1166.6666666666667</v>
      </c>
      <c r="O151" s="55">
        <f t="shared" ca="1" si="71"/>
        <v>1416.6666666666667</v>
      </c>
      <c r="P151" s="55">
        <f t="shared" ca="1" si="71"/>
        <v>1416.6666666666667</v>
      </c>
      <c r="Q151" s="55">
        <f t="shared" ca="1" si="71"/>
        <v>1583.3333333333335</v>
      </c>
      <c r="R151" s="55">
        <f t="shared" ca="1" si="71"/>
        <v>1833.3333333333335</v>
      </c>
      <c r="S151" s="55">
        <f t="shared" ca="1" si="71"/>
        <v>2083.3333333333335</v>
      </c>
      <c r="T151" s="55">
        <f t="shared" ca="1" si="71"/>
        <v>2333.3333333333335</v>
      </c>
      <c r="U151" s="55">
        <f t="shared" ca="1" si="71"/>
        <v>2500</v>
      </c>
      <c r="V151" s="55">
        <f t="shared" ca="1" si="71"/>
        <v>2750</v>
      </c>
      <c r="W151" s="55">
        <f t="shared" ca="1" si="71"/>
        <v>3000</v>
      </c>
      <c r="X151" s="55">
        <f t="shared" ca="1" si="71"/>
        <v>3166.6666666666665</v>
      </c>
      <c r="Y151" s="55">
        <f t="shared" ca="1" si="71"/>
        <v>3416.6666666666665</v>
      </c>
      <c r="Z151" s="55">
        <f t="shared" ca="1" si="71"/>
        <v>3666.6666666666665</v>
      </c>
      <c r="AA151" s="55">
        <f t="shared" ca="1" si="71"/>
        <v>3833.333333333333</v>
      </c>
      <c r="AB151" s="55">
        <f t="shared" ca="1" si="71"/>
        <v>3999.9999999999995</v>
      </c>
      <c r="AC151" s="55">
        <f t="shared" ca="1" si="71"/>
        <v>4416.6666666666661</v>
      </c>
      <c r="AD151" s="55">
        <f t="shared" ca="1" si="71"/>
        <v>4583.333333333333</v>
      </c>
      <c r="AE151" s="55">
        <f t="shared" ca="1" si="71"/>
        <v>4750</v>
      </c>
      <c r="AF151" s="55">
        <f t="shared" ca="1" si="71"/>
        <v>5083.333333333333</v>
      </c>
      <c r="AG151" s="55">
        <f t="shared" ca="1" si="71"/>
        <v>5108.333333333333</v>
      </c>
      <c r="AH151" s="55">
        <f t="shared" ca="1" si="71"/>
        <v>5275</v>
      </c>
      <c r="AI151" s="55">
        <f t="shared" ca="1" si="71"/>
        <v>5125</v>
      </c>
      <c r="AJ151" s="55">
        <f t="shared" ca="1" si="71"/>
        <v>5083.3333333333339</v>
      </c>
      <c r="AK151" s="55">
        <f t="shared" ca="1" si="71"/>
        <v>5250.0000000000009</v>
      </c>
      <c r="AL151" s="55">
        <f t="shared" ca="1" si="71"/>
        <v>5333.3333333333339</v>
      </c>
      <c r="AM151" s="55">
        <f t="shared" ca="1" si="71"/>
        <v>5250.0000000000009</v>
      </c>
      <c r="AN151" s="55">
        <f t="shared" ca="1" si="71"/>
        <v>5416.6666666666679</v>
      </c>
      <c r="AO151" s="55">
        <f t="shared" ref="AO151:BP151" ca="1" si="72">AN151+AO145/AssmLaptopLife-IF(AO7&gt;AssmLaptopLife,OFFSET(AO145,0,-AssmLaptopLife)/AssmLaptopLife,0)</f>
        <v>5583.3333333333339</v>
      </c>
      <c r="AP151" s="55">
        <f t="shared" ca="1" si="72"/>
        <v>5500.0000000000009</v>
      </c>
      <c r="AQ151" s="55">
        <f t="shared" ca="1" si="72"/>
        <v>5500.0000000000009</v>
      </c>
      <c r="AR151" s="55">
        <f t="shared" ca="1" si="72"/>
        <v>5500.0000000000009</v>
      </c>
      <c r="AS151" s="55">
        <f t="shared" ca="1" si="72"/>
        <v>5333.3333333333339</v>
      </c>
      <c r="AT151" s="55">
        <f t="shared" ca="1" si="72"/>
        <v>5083.3333333333339</v>
      </c>
      <c r="AU151" s="55">
        <f t="shared" ca="1" si="72"/>
        <v>4833.3333333333339</v>
      </c>
      <c r="AV151" s="55">
        <f t="shared" ca="1" si="72"/>
        <v>4666.666666666667</v>
      </c>
      <c r="AW151" s="55">
        <f t="shared" ca="1" si="72"/>
        <v>4416.666666666667</v>
      </c>
      <c r="AX151" s="55">
        <f t="shared" ca="1" si="72"/>
        <v>4166.666666666667</v>
      </c>
      <c r="AY151" s="55">
        <f t="shared" ca="1" si="72"/>
        <v>4000.0000000000005</v>
      </c>
      <c r="AZ151" s="55">
        <f t="shared" ca="1" si="72"/>
        <v>3833.3333333333339</v>
      </c>
      <c r="BA151" s="55">
        <f t="shared" ca="1" si="72"/>
        <v>3416.6666666666674</v>
      </c>
      <c r="BB151" s="55">
        <f t="shared" ca="1" si="72"/>
        <v>3250.0000000000009</v>
      </c>
      <c r="BC151" s="55">
        <f t="shared" ca="1" si="72"/>
        <v>3083.3333333333344</v>
      </c>
      <c r="BD151" s="55">
        <f t="shared" ca="1" si="72"/>
        <v>2750.0000000000009</v>
      </c>
      <c r="BE151" s="55">
        <f t="shared" ca="1" si="72"/>
        <v>2583.3333333333344</v>
      </c>
      <c r="BF151" s="55">
        <f t="shared" ca="1" si="72"/>
        <v>2333.3333333333344</v>
      </c>
      <c r="BG151" s="55">
        <f t="shared" ca="1" si="72"/>
        <v>2083.3333333333344</v>
      </c>
      <c r="BH151" s="55">
        <f t="shared" ca="1" si="72"/>
        <v>1916.6666666666677</v>
      </c>
      <c r="BI151" s="55">
        <f t="shared" ca="1" si="72"/>
        <v>1666.6666666666677</v>
      </c>
      <c r="BJ151" s="55">
        <f t="shared" ca="1" si="72"/>
        <v>1333.3333333333344</v>
      </c>
      <c r="BK151" s="55">
        <f t="shared" ca="1" si="72"/>
        <v>1166.6666666666677</v>
      </c>
      <c r="BL151" s="55">
        <f t="shared" ca="1" si="72"/>
        <v>1000.000000000001</v>
      </c>
      <c r="BM151" s="55">
        <f t="shared" ca="1" si="72"/>
        <v>666.66666666666765</v>
      </c>
      <c r="BN151" s="55">
        <f t="shared" ca="1" si="72"/>
        <v>500.00000000000102</v>
      </c>
      <c r="BO151" s="55">
        <f t="shared" ca="1" si="72"/>
        <v>250.00000000000102</v>
      </c>
      <c r="BP151" s="55">
        <f t="shared" ca="1" si="72"/>
        <v>1.0231815394945443E-12</v>
      </c>
    </row>
    <row r="152" spans="4:68" x14ac:dyDescent="0.2">
      <c r="F152" s="1" t="s">
        <v>156</v>
      </c>
    </row>
    <row r="153" spans="4:68" x14ac:dyDescent="0.2">
      <c r="E153" s="1" t="s">
        <v>153</v>
      </c>
      <c r="I153" s="59">
        <f ca="1">SUM(I150:I152)</f>
        <v>141.66666666666666</v>
      </c>
      <c r="J153" s="59">
        <f t="shared" ref="J153:BP153" ca="1" si="73">SUM(J150:J152)</f>
        <v>366.66666666666663</v>
      </c>
      <c r="K153" s="59">
        <f t="shared" ca="1" si="73"/>
        <v>991.66666666666663</v>
      </c>
      <c r="L153" s="59">
        <f t="shared" ca="1" si="73"/>
        <v>1825</v>
      </c>
      <c r="M153" s="59">
        <f t="shared" ca="1" si="73"/>
        <v>2741.666666666667</v>
      </c>
      <c r="N153" s="59">
        <f t="shared" ca="1" si="73"/>
        <v>3908.3333333333339</v>
      </c>
      <c r="O153" s="59">
        <f t="shared" ca="1" si="73"/>
        <v>5325.0000000000009</v>
      </c>
      <c r="P153" s="59">
        <f t="shared" ca="1" si="73"/>
        <v>6741.6666666666679</v>
      </c>
      <c r="Q153" s="59">
        <f t="shared" ca="1" si="73"/>
        <v>8325.0000000000018</v>
      </c>
      <c r="R153" s="59">
        <f t="shared" ca="1" si="73"/>
        <v>10158.333333333336</v>
      </c>
      <c r="S153" s="59">
        <f t="shared" ca="1" si="73"/>
        <v>12241.66666666667</v>
      </c>
      <c r="T153" s="59">
        <f t="shared" ca="1" si="73"/>
        <v>14575.000000000004</v>
      </c>
      <c r="U153" s="59">
        <f t="shared" ca="1" si="73"/>
        <v>17075.000000000004</v>
      </c>
      <c r="V153" s="59">
        <f t="shared" ca="1" si="73"/>
        <v>19825.000000000004</v>
      </c>
      <c r="W153" s="59">
        <f t="shared" ca="1" si="73"/>
        <v>22825.000000000004</v>
      </c>
      <c r="X153" s="59">
        <f t="shared" ca="1" si="73"/>
        <v>25991.666666666672</v>
      </c>
      <c r="Y153" s="59">
        <f t="shared" ca="1" si="73"/>
        <v>29408.333333333339</v>
      </c>
      <c r="Z153" s="59">
        <f t="shared" ca="1" si="73"/>
        <v>33075.000000000007</v>
      </c>
      <c r="AA153" s="59">
        <f t="shared" ca="1" si="73"/>
        <v>36908.333333333343</v>
      </c>
      <c r="AB153" s="59">
        <f t="shared" ca="1" si="73"/>
        <v>40908.333333333343</v>
      </c>
      <c r="AC153" s="59">
        <f t="shared" ca="1" si="73"/>
        <v>45325.000000000007</v>
      </c>
      <c r="AD153" s="59">
        <f t="shared" ca="1" si="73"/>
        <v>49908.333333333343</v>
      </c>
      <c r="AE153" s="59">
        <f t="shared" ca="1" si="73"/>
        <v>54658.333333333343</v>
      </c>
      <c r="AF153" s="59">
        <f t="shared" ca="1" si="73"/>
        <v>59741.666666666679</v>
      </c>
      <c r="AG153" s="59">
        <f t="shared" ca="1" si="73"/>
        <v>64850.000000000015</v>
      </c>
      <c r="AH153" s="59">
        <f t="shared" ca="1" si="73"/>
        <v>70125.000000000015</v>
      </c>
      <c r="AI153" s="59">
        <f t="shared" ca="1" si="73"/>
        <v>75250.000000000015</v>
      </c>
      <c r="AJ153" s="59">
        <f t="shared" ca="1" si="73"/>
        <v>80333.333333333343</v>
      </c>
      <c r="AK153" s="59">
        <f t="shared" ca="1" si="73"/>
        <v>85583.333333333343</v>
      </c>
      <c r="AL153" s="59">
        <f t="shared" ca="1" si="73"/>
        <v>90916.666666666672</v>
      </c>
      <c r="AM153" s="59">
        <f t="shared" ca="1" si="73"/>
        <v>96166.666666666672</v>
      </c>
      <c r="AN153" s="59">
        <f t="shared" ca="1" si="73"/>
        <v>101583.33333333334</v>
      </c>
      <c r="AO153" s="59">
        <f t="shared" ca="1" si="73"/>
        <v>107166.66666666667</v>
      </c>
      <c r="AP153" s="59">
        <f t="shared" ca="1" si="73"/>
        <v>112666.66666666667</v>
      </c>
      <c r="AQ153" s="59">
        <f t="shared" ca="1" si="73"/>
        <v>118166.66666666667</v>
      </c>
      <c r="AR153" s="59">
        <f t="shared" ca="1" si="73"/>
        <v>123666.66666666667</v>
      </c>
      <c r="AS153" s="59">
        <f t="shared" ca="1" si="73"/>
        <v>129000</v>
      </c>
      <c r="AT153" s="59">
        <f t="shared" ca="1" si="73"/>
        <v>134083.33333333334</v>
      </c>
      <c r="AU153" s="59">
        <f t="shared" ca="1" si="73"/>
        <v>138916.66666666669</v>
      </c>
      <c r="AV153" s="59">
        <f t="shared" ca="1" si="73"/>
        <v>143583.33333333334</v>
      </c>
      <c r="AW153" s="59">
        <f t="shared" ca="1" si="73"/>
        <v>148000</v>
      </c>
      <c r="AX153" s="59">
        <f t="shared" ca="1" si="73"/>
        <v>152166.66666666666</v>
      </c>
      <c r="AY153" s="59">
        <f t="shared" ca="1" si="73"/>
        <v>156166.66666666666</v>
      </c>
      <c r="AZ153" s="59">
        <f t="shared" ca="1" si="73"/>
        <v>160000</v>
      </c>
      <c r="BA153" s="59">
        <f t="shared" ca="1" si="73"/>
        <v>163416.66666666666</v>
      </c>
      <c r="BB153" s="59">
        <f t="shared" ca="1" si="73"/>
        <v>166666.66666666666</v>
      </c>
      <c r="BC153" s="59">
        <f t="shared" ca="1" si="73"/>
        <v>169750</v>
      </c>
      <c r="BD153" s="59">
        <f t="shared" ca="1" si="73"/>
        <v>172500</v>
      </c>
      <c r="BE153" s="59">
        <f t="shared" ca="1" si="73"/>
        <v>175083.33333333334</v>
      </c>
      <c r="BF153" s="59">
        <f t="shared" ca="1" si="73"/>
        <v>177416.66666666669</v>
      </c>
      <c r="BG153" s="59">
        <f t="shared" ca="1" si="73"/>
        <v>179500.00000000003</v>
      </c>
      <c r="BH153" s="59">
        <f t="shared" ca="1" si="73"/>
        <v>181416.66666666669</v>
      </c>
      <c r="BI153" s="59">
        <f t="shared" ca="1" si="73"/>
        <v>183083.33333333334</v>
      </c>
      <c r="BJ153" s="59">
        <f t="shared" ca="1" si="73"/>
        <v>184416.66666666669</v>
      </c>
      <c r="BK153" s="59">
        <f t="shared" ca="1" si="73"/>
        <v>185583.33333333334</v>
      </c>
      <c r="BL153" s="59">
        <f t="shared" ca="1" si="73"/>
        <v>186583.33333333334</v>
      </c>
      <c r="BM153" s="59">
        <f t="shared" ca="1" si="73"/>
        <v>187250</v>
      </c>
      <c r="BN153" s="59">
        <f t="shared" ca="1" si="73"/>
        <v>187750</v>
      </c>
      <c r="BO153" s="59">
        <f t="shared" ca="1" si="73"/>
        <v>188000</v>
      </c>
      <c r="BP153" s="59">
        <f t="shared" ca="1" si="73"/>
        <v>188000</v>
      </c>
    </row>
    <row r="155" spans="4:68" x14ac:dyDescent="0.2">
      <c r="D155" s="1" t="s">
        <v>158</v>
      </c>
    </row>
    <row r="156" spans="4:68" x14ac:dyDescent="0.2">
      <c r="E156" s="1" t="s">
        <v>149</v>
      </c>
      <c r="I156" s="55">
        <f>H159</f>
        <v>0</v>
      </c>
      <c r="J156" s="55">
        <f t="shared" ref="J156:BP156" ca="1" si="74">I159</f>
        <v>19661.657609166668</v>
      </c>
      <c r="K156" s="55">
        <f t="shared" ca="1" si="74"/>
        <v>50781.895250665628</v>
      </c>
      <c r="L156" s="55">
        <f t="shared" ca="1" si="74"/>
        <v>123036.2684818134</v>
      </c>
      <c r="M156" s="55">
        <f t="shared" ca="1" si="74"/>
        <v>219573.83858510744</v>
      </c>
      <c r="N156" s="55">
        <f t="shared" ca="1" si="74"/>
        <v>324459.82534596382</v>
      </c>
      <c r="O156" s="55">
        <f t="shared" ca="1" si="74"/>
        <v>454820.94282880868</v>
      </c>
      <c r="P156" s="55">
        <f t="shared" ca="1" si="74"/>
        <v>611250.4274371994</v>
      </c>
      <c r="Q156" s="55">
        <f t="shared" ca="1" si="74"/>
        <v>765759.51585749164</v>
      </c>
      <c r="R156" s="55">
        <f t="shared" ca="1" si="74"/>
        <v>936902.98786819808</v>
      </c>
      <c r="S156" s="55">
        <f t="shared" ca="1" si="74"/>
        <v>1133916.6393222862</v>
      </c>
      <c r="T156" s="55">
        <f t="shared" ca="1" si="74"/>
        <v>1351121.2039781974</v>
      </c>
      <c r="U156" s="55">
        <f t="shared" ca="1" si="74"/>
        <v>1587964.9550226186</v>
      </c>
      <c r="V156" s="55">
        <f t="shared" ca="1" si="74"/>
        <v>1836847.5575313289</v>
      </c>
      <c r="W156" s="55">
        <f t="shared" ca="1" si="74"/>
        <v>2104544.5084293312</v>
      </c>
      <c r="X156" s="55">
        <f t="shared" ca="1" si="74"/>
        <v>2384086.7031142237</v>
      </c>
      <c r="Y156" s="55">
        <f t="shared" ca="1" si="74"/>
        <v>2664737.6034261342</v>
      </c>
      <c r="Z156" s="55">
        <f t="shared" ca="1" si="74"/>
        <v>2950930.0035806485</v>
      </c>
      <c r="AA156" s="55">
        <f t="shared" ca="1" si="74"/>
        <v>3231679.5118928128</v>
      </c>
      <c r="AB156" s="55">
        <f t="shared" ca="1" si="74"/>
        <v>3491019.0701203593</v>
      </c>
      <c r="AC156" s="55">
        <f t="shared" ca="1" si="74"/>
        <v>3716503.7330786469</v>
      </c>
      <c r="AD156" s="55">
        <f t="shared" ca="1" si="74"/>
        <v>3914906.5616131173</v>
      </c>
      <c r="AE156" s="55">
        <f t="shared" ca="1" si="74"/>
        <v>4042359.9394697472</v>
      </c>
      <c r="AF156" s="55">
        <f t="shared" ca="1" si="74"/>
        <v>4071546.7664952883</v>
      </c>
      <c r="AG156" s="55">
        <f t="shared" ca="1" si="74"/>
        <v>3981683.2011689479</v>
      </c>
      <c r="AH156" s="55">
        <f t="shared" ca="1" si="74"/>
        <v>3358888.2219920317</v>
      </c>
      <c r="AI156" s="55">
        <f t="shared" ca="1" si="74"/>
        <v>2643509.2163425013</v>
      </c>
      <c r="AJ156" s="55">
        <f t="shared" ca="1" si="74"/>
        <v>1819253.6542366282</v>
      </c>
      <c r="AK156" s="55">
        <f t="shared" ca="1" si="74"/>
        <v>866316.45688803447</v>
      </c>
      <c r="AL156" s="55">
        <f t="shared" ca="1" si="74"/>
        <v>0</v>
      </c>
      <c r="AM156" s="55">
        <f t="shared" ca="1" si="74"/>
        <v>0</v>
      </c>
      <c r="AN156" s="55">
        <f t="shared" ca="1" si="74"/>
        <v>0</v>
      </c>
      <c r="AO156" s="55">
        <f t="shared" ca="1" si="74"/>
        <v>0</v>
      </c>
      <c r="AP156" s="55">
        <f t="shared" ca="1" si="74"/>
        <v>0</v>
      </c>
      <c r="AQ156" s="55">
        <f t="shared" ca="1" si="74"/>
        <v>0</v>
      </c>
      <c r="AR156" s="55">
        <f t="shared" ca="1" si="74"/>
        <v>0</v>
      </c>
      <c r="AS156" s="55">
        <f t="shared" ca="1" si="74"/>
        <v>0</v>
      </c>
      <c r="AT156" s="55">
        <f t="shared" ca="1" si="74"/>
        <v>0</v>
      </c>
      <c r="AU156" s="55">
        <f t="shared" ca="1" si="74"/>
        <v>0</v>
      </c>
      <c r="AV156" s="55">
        <f t="shared" ca="1" si="74"/>
        <v>0</v>
      </c>
      <c r="AW156" s="55">
        <f t="shared" ca="1" si="74"/>
        <v>0</v>
      </c>
      <c r="AX156" s="55">
        <f t="shared" ca="1" si="74"/>
        <v>0</v>
      </c>
      <c r="AY156" s="55">
        <f t="shared" ca="1" si="74"/>
        <v>0</v>
      </c>
      <c r="AZ156" s="55">
        <f t="shared" ca="1" si="74"/>
        <v>0</v>
      </c>
      <c r="BA156" s="55">
        <f t="shared" ca="1" si="74"/>
        <v>0</v>
      </c>
      <c r="BB156" s="55">
        <f t="shared" ca="1" si="74"/>
        <v>0</v>
      </c>
      <c r="BC156" s="55">
        <f t="shared" ca="1" si="74"/>
        <v>0</v>
      </c>
      <c r="BD156" s="55">
        <f t="shared" ca="1" si="74"/>
        <v>0</v>
      </c>
      <c r="BE156" s="55">
        <f t="shared" ca="1" si="74"/>
        <v>0</v>
      </c>
      <c r="BF156" s="55">
        <f t="shared" ca="1" si="74"/>
        <v>0</v>
      </c>
      <c r="BG156" s="55">
        <f t="shared" ca="1" si="74"/>
        <v>0</v>
      </c>
      <c r="BH156" s="55">
        <f t="shared" ca="1" si="74"/>
        <v>0</v>
      </c>
      <c r="BI156" s="55">
        <f t="shared" ca="1" si="74"/>
        <v>0</v>
      </c>
      <c r="BJ156" s="55">
        <f t="shared" ca="1" si="74"/>
        <v>0</v>
      </c>
      <c r="BK156" s="55">
        <f t="shared" ca="1" si="74"/>
        <v>0</v>
      </c>
      <c r="BL156" s="55">
        <f t="shared" ca="1" si="74"/>
        <v>0</v>
      </c>
      <c r="BM156" s="55">
        <f t="shared" ca="1" si="74"/>
        <v>0</v>
      </c>
      <c r="BN156" s="55">
        <f t="shared" ca="1" si="74"/>
        <v>0</v>
      </c>
      <c r="BO156" s="55">
        <f t="shared" ca="1" si="74"/>
        <v>0</v>
      </c>
      <c r="BP156" s="55">
        <f t="shared" ca="1" si="74"/>
        <v>0</v>
      </c>
    </row>
    <row r="157" spans="4:68" x14ac:dyDescent="0.2">
      <c r="F157" s="1" t="s">
        <v>159</v>
      </c>
      <c r="I157" s="55">
        <f t="shared" ref="I157:AN157" ca="1" si="75">IF(I88&lt;0,-I88,0)</f>
        <v>19661.657609166668</v>
      </c>
      <c r="J157" s="55">
        <f t="shared" ca="1" si="75"/>
        <v>31120.237641498959</v>
      </c>
      <c r="K157" s="55">
        <f t="shared" ca="1" si="75"/>
        <v>72254.373231147765</v>
      </c>
      <c r="L157" s="55">
        <f t="shared" ca="1" si="75"/>
        <v>96537.570103294041</v>
      </c>
      <c r="M157" s="55">
        <f t="shared" ca="1" si="75"/>
        <v>104885.98676085637</v>
      </c>
      <c r="N157" s="55">
        <f t="shared" ca="1" si="75"/>
        <v>130361.11748284487</v>
      </c>
      <c r="O157" s="55">
        <f t="shared" ca="1" si="75"/>
        <v>156429.48460839072</v>
      </c>
      <c r="P157" s="55">
        <f t="shared" ca="1" si="75"/>
        <v>154509.08842029222</v>
      </c>
      <c r="Q157" s="55">
        <f t="shared" ca="1" si="75"/>
        <v>171143.47201070641</v>
      </c>
      <c r="R157" s="55">
        <f t="shared" ca="1" si="75"/>
        <v>197013.6514540881</v>
      </c>
      <c r="S157" s="55">
        <f t="shared" ca="1" si="75"/>
        <v>217204.56465591124</v>
      </c>
      <c r="T157" s="55">
        <f t="shared" ca="1" si="75"/>
        <v>236843.75104442114</v>
      </c>
      <c r="U157" s="55">
        <f t="shared" ca="1" si="75"/>
        <v>248882.60250871026</v>
      </c>
      <c r="V157" s="55">
        <f t="shared" ca="1" si="75"/>
        <v>267696.95089800231</v>
      </c>
      <c r="W157" s="55">
        <f t="shared" ca="1" si="75"/>
        <v>279542.19468489231</v>
      </c>
      <c r="X157" s="55">
        <f t="shared" ca="1" si="75"/>
        <v>280650.90031191061</v>
      </c>
      <c r="Y157" s="55">
        <f t="shared" ca="1" si="75"/>
        <v>286192.40015451418</v>
      </c>
      <c r="Z157" s="55">
        <f t="shared" ca="1" si="75"/>
        <v>280749.50831216446</v>
      </c>
      <c r="AA157" s="55">
        <f t="shared" ca="1" si="75"/>
        <v>259339.55822754651</v>
      </c>
      <c r="AB157" s="55">
        <f t="shared" ca="1" si="75"/>
        <v>225484.66295828784</v>
      </c>
      <c r="AC157" s="55">
        <f t="shared" ca="1" si="75"/>
        <v>198402.82853447035</v>
      </c>
      <c r="AD157" s="55">
        <f t="shared" ca="1" si="75"/>
        <v>127453.37785663003</v>
      </c>
      <c r="AE157" s="55">
        <f t="shared" ca="1" si="75"/>
        <v>29186.827025541294</v>
      </c>
      <c r="AF157" s="55">
        <f t="shared" ca="1" si="75"/>
        <v>0</v>
      </c>
      <c r="AG157" s="55">
        <f t="shared" ca="1" si="75"/>
        <v>0</v>
      </c>
      <c r="AH157" s="55">
        <f t="shared" ca="1" si="75"/>
        <v>0</v>
      </c>
      <c r="AI157" s="55">
        <f t="shared" ca="1" si="75"/>
        <v>0</v>
      </c>
      <c r="AJ157" s="55">
        <f t="shared" ca="1" si="75"/>
        <v>0</v>
      </c>
      <c r="AK157" s="55">
        <f t="shared" ca="1" si="75"/>
        <v>0</v>
      </c>
      <c r="AL157" s="55">
        <f t="shared" ca="1" si="75"/>
        <v>0</v>
      </c>
      <c r="AM157" s="55">
        <f t="shared" ca="1" si="75"/>
        <v>0</v>
      </c>
      <c r="AN157" s="55">
        <f t="shared" ca="1" si="75"/>
        <v>0</v>
      </c>
      <c r="AO157" s="55">
        <f t="shared" ref="AO157:BP157" ca="1" si="76">IF(AO88&lt;0,-AO88,0)</f>
        <v>0</v>
      </c>
      <c r="AP157" s="55">
        <f t="shared" ca="1" si="76"/>
        <v>0</v>
      </c>
      <c r="AQ157" s="55">
        <f t="shared" ca="1" si="76"/>
        <v>0</v>
      </c>
      <c r="AR157" s="55">
        <f t="shared" ca="1" si="76"/>
        <v>0</v>
      </c>
      <c r="AS157" s="55">
        <f t="shared" ca="1" si="76"/>
        <v>0</v>
      </c>
      <c r="AT157" s="55">
        <f t="shared" ca="1" si="76"/>
        <v>0</v>
      </c>
      <c r="AU157" s="55">
        <f t="shared" ca="1" si="76"/>
        <v>0</v>
      </c>
      <c r="AV157" s="55">
        <f t="shared" ca="1" si="76"/>
        <v>0</v>
      </c>
      <c r="AW157" s="55">
        <f t="shared" ca="1" si="76"/>
        <v>0</v>
      </c>
      <c r="AX157" s="55">
        <f t="shared" ca="1" si="76"/>
        <v>0</v>
      </c>
      <c r="AY157" s="55">
        <f t="shared" ca="1" si="76"/>
        <v>0</v>
      </c>
      <c r="AZ157" s="55">
        <f t="shared" ca="1" si="76"/>
        <v>0</v>
      </c>
      <c r="BA157" s="55">
        <f t="shared" ca="1" si="76"/>
        <v>0</v>
      </c>
      <c r="BB157" s="55">
        <f t="shared" ca="1" si="76"/>
        <v>0</v>
      </c>
      <c r="BC157" s="55">
        <f t="shared" ca="1" si="76"/>
        <v>0</v>
      </c>
      <c r="BD157" s="55">
        <f t="shared" ca="1" si="76"/>
        <v>0</v>
      </c>
      <c r="BE157" s="55">
        <f t="shared" ca="1" si="76"/>
        <v>0</v>
      </c>
      <c r="BF157" s="55">
        <f t="shared" ca="1" si="76"/>
        <v>0</v>
      </c>
      <c r="BG157" s="55">
        <f t="shared" ca="1" si="76"/>
        <v>0</v>
      </c>
      <c r="BH157" s="55">
        <f t="shared" ca="1" si="76"/>
        <v>0</v>
      </c>
      <c r="BI157" s="55">
        <f t="shared" ca="1" si="76"/>
        <v>0</v>
      </c>
      <c r="BJ157" s="55">
        <f t="shared" ca="1" si="76"/>
        <v>0</v>
      </c>
      <c r="BK157" s="55">
        <f t="shared" ca="1" si="76"/>
        <v>0</v>
      </c>
      <c r="BL157" s="55">
        <f t="shared" ca="1" si="76"/>
        <v>0</v>
      </c>
      <c r="BM157" s="55">
        <f t="shared" ca="1" si="76"/>
        <v>0</v>
      </c>
      <c r="BN157" s="55">
        <f t="shared" ca="1" si="76"/>
        <v>0</v>
      </c>
      <c r="BO157" s="55">
        <f t="shared" ca="1" si="76"/>
        <v>0</v>
      </c>
      <c r="BP157" s="55">
        <f t="shared" ca="1" si="76"/>
        <v>0</v>
      </c>
    </row>
    <row r="158" spans="4:68" x14ac:dyDescent="0.2">
      <c r="F158" s="1" t="s">
        <v>160</v>
      </c>
      <c r="I158" s="55">
        <f t="shared" ref="I158:AN158" ca="1" si="77">IF(I88&gt;0,-MIN(I156,I88),0)</f>
        <v>0</v>
      </c>
      <c r="J158" s="55">
        <f t="shared" ca="1" si="77"/>
        <v>0</v>
      </c>
      <c r="K158" s="55">
        <f t="shared" ca="1" si="77"/>
        <v>0</v>
      </c>
      <c r="L158" s="55">
        <f t="shared" ca="1" si="77"/>
        <v>0</v>
      </c>
      <c r="M158" s="55">
        <f t="shared" ca="1" si="77"/>
        <v>0</v>
      </c>
      <c r="N158" s="55">
        <f t="shared" ca="1" si="77"/>
        <v>0</v>
      </c>
      <c r="O158" s="55">
        <f t="shared" ca="1" si="77"/>
        <v>0</v>
      </c>
      <c r="P158" s="55">
        <f t="shared" ca="1" si="77"/>
        <v>0</v>
      </c>
      <c r="Q158" s="55">
        <f t="shared" ca="1" si="77"/>
        <v>0</v>
      </c>
      <c r="R158" s="55">
        <f t="shared" ca="1" si="77"/>
        <v>0</v>
      </c>
      <c r="S158" s="55">
        <f t="shared" ca="1" si="77"/>
        <v>0</v>
      </c>
      <c r="T158" s="55">
        <f t="shared" ca="1" si="77"/>
        <v>0</v>
      </c>
      <c r="U158" s="55">
        <f t="shared" ca="1" si="77"/>
        <v>0</v>
      </c>
      <c r="V158" s="55">
        <f t="shared" ca="1" si="77"/>
        <v>0</v>
      </c>
      <c r="W158" s="55">
        <f t="shared" ca="1" si="77"/>
        <v>0</v>
      </c>
      <c r="X158" s="55">
        <f t="shared" ca="1" si="77"/>
        <v>0</v>
      </c>
      <c r="Y158" s="55">
        <f t="shared" ca="1" si="77"/>
        <v>0</v>
      </c>
      <c r="Z158" s="55">
        <f t="shared" ca="1" si="77"/>
        <v>0</v>
      </c>
      <c r="AA158" s="55">
        <f t="shared" ca="1" si="77"/>
        <v>0</v>
      </c>
      <c r="AB158" s="55">
        <f t="shared" ca="1" si="77"/>
        <v>0</v>
      </c>
      <c r="AC158" s="55">
        <f t="shared" ca="1" si="77"/>
        <v>0</v>
      </c>
      <c r="AD158" s="55">
        <f t="shared" ca="1" si="77"/>
        <v>0</v>
      </c>
      <c r="AE158" s="55">
        <f t="shared" ca="1" si="77"/>
        <v>0</v>
      </c>
      <c r="AF158" s="55">
        <f t="shared" ca="1" si="77"/>
        <v>-89863.565326340482</v>
      </c>
      <c r="AG158" s="55">
        <f t="shared" ca="1" si="77"/>
        <v>-622794.97917691607</v>
      </c>
      <c r="AH158" s="55">
        <f t="shared" ca="1" si="77"/>
        <v>-715379.00564953021</v>
      </c>
      <c r="AI158" s="55">
        <f t="shared" ca="1" si="77"/>
        <v>-824255.56210587313</v>
      </c>
      <c r="AJ158" s="55">
        <f t="shared" ca="1" si="77"/>
        <v>-952937.19734859373</v>
      </c>
      <c r="AK158" s="55">
        <f t="shared" ca="1" si="77"/>
        <v>-866316.45688803447</v>
      </c>
      <c r="AL158" s="55">
        <f t="shared" ca="1" si="77"/>
        <v>0</v>
      </c>
      <c r="AM158" s="55">
        <f t="shared" ca="1" si="77"/>
        <v>0</v>
      </c>
      <c r="AN158" s="55">
        <f t="shared" ca="1" si="77"/>
        <v>0</v>
      </c>
      <c r="AO158" s="55">
        <f t="shared" ref="AO158:BP158" ca="1" si="78">IF(AO88&gt;0,-MIN(AO156,AO88),0)</f>
        <v>0</v>
      </c>
      <c r="AP158" s="55">
        <f t="shared" ca="1" si="78"/>
        <v>0</v>
      </c>
      <c r="AQ158" s="55">
        <f t="shared" ca="1" si="78"/>
        <v>0</v>
      </c>
      <c r="AR158" s="55">
        <f t="shared" ca="1" si="78"/>
        <v>0</v>
      </c>
      <c r="AS158" s="55">
        <f t="shared" ca="1" si="78"/>
        <v>0</v>
      </c>
      <c r="AT158" s="55">
        <f t="shared" ca="1" si="78"/>
        <v>0</v>
      </c>
      <c r="AU158" s="55">
        <f t="shared" ca="1" si="78"/>
        <v>0</v>
      </c>
      <c r="AV158" s="55">
        <f t="shared" ca="1" si="78"/>
        <v>0</v>
      </c>
      <c r="AW158" s="55">
        <f t="shared" ca="1" si="78"/>
        <v>0</v>
      </c>
      <c r="AX158" s="55">
        <f t="shared" ca="1" si="78"/>
        <v>0</v>
      </c>
      <c r="AY158" s="55">
        <f t="shared" ca="1" si="78"/>
        <v>0</v>
      </c>
      <c r="AZ158" s="55">
        <f t="shared" ca="1" si="78"/>
        <v>0</v>
      </c>
      <c r="BA158" s="55">
        <f t="shared" ca="1" si="78"/>
        <v>0</v>
      </c>
      <c r="BB158" s="55">
        <f t="shared" ca="1" si="78"/>
        <v>0</v>
      </c>
      <c r="BC158" s="55">
        <f t="shared" ca="1" si="78"/>
        <v>0</v>
      </c>
      <c r="BD158" s="55">
        <f t="shared" ca="1" si="78"/>
        <v>0</v>
      </c>
      <c r="BE158" s="55">
        <f t="shared" ca="1" si="78"/>
        <v>0</v>
      </c>
      <c r="BF158" s="55">
        <f t="shared" ca="1" si="78"/>
        <v>0</v>
      </c>
      <c r="BG158" s="55">
        <f t="shared" ca="1" si="78"/>
        <v>0</v>
      </c>
      <c r="BH158" s="55">
        <f t="shared" ca="1" si="78"/>
        <v>0</v>
      </c>
      <c r="BI158" s="55">
        <f t="shared" ca="1" si="78"/>
        <v>0</v>
      </c>
      <c r="BJ158" s="55">
        <f t="shared" ca="1" si="78"/>
        <v>0</v>
      </c>
      <c r="BK158" s="55">
        <f t="shared" ca="1" si="78"/>
        <v>0</v>
      </c>
      <c r="BL158" s="55">
        <f t="shared" ca="1" si="78"/>
        <v>0</v>
      </c>
      <c r="BM158" s="55">
        <f t="shared" ca="1" si="78"/>
        <v>0</v>
      </c>
      <c r="BN158" s="55">
        <f t="shared" ca="1" si="78"/>
        <v>0</v>
      </c>
      <c r="BO158" s="55">
        <f t="shared" ca="1" si="78"/>
        <v>0</v>
      </c>
      <c r="BP158" s="55">
        <f t="shared" ca="1" si="78"/>
        <v>0</v>
      </c>
    </row>
    <row r="159" spans="4:68" x14ac:dyDescent="0.2">
      <c r="E159" s="1" t="s">
        <v>153</v>
      </c>
      <c r="I159" s="59">
        <f ca="1">SUM(I156:I158)</f>
        <v>19661.657609166668</v>
      </c>
      <c r="J159" s="59">
        <f t="shared" ref="J159:BP159" ca="1" si="79">SUM(J156:J158)</f>
        <v>50781.895250665628</v>
      </c>
      <c r="K159" s="59">
        <f t="shared" ca="1" si="79"/>
        <v>123036.2684818134</v>
      </c>
      <c r="L159" s="59">
        <f t="shared" ca="1" si="79"/>
        <v>219573.83858510744</v>
      </c>
      <c r="M159" s="59">
        <f t="shared" ca="1" si="79"/>
        <v>324459.82534596382</v>
      </c>
      <c r="N159" s="59">
        <f t="shared" ca="1" si="79"/>
        <v>454820.94282880868</v>
      </c>
      <c r="O159" s="59">
        <f t="shared" ca="1" si="79"/>
        <v>611250.4274371994</v>
      </c>
      <c r="P159" s="59">
        <f t="shared" ca="1" si="79"/>
        <v>765759.51585749164</v>
      </c>
      <c r="Q159" s="59">
        <f t="shared" ca="1" si="79"/>
        <v>936902.98786819808</v>
      </c>
      <c r="R159" s="59">
        <f t="shared" ca="1" si="79"/>
        <v>1133916.6393222862</v>
      </c>
      <c r="S159" s="59">
        <f t="shared" ca="1" si="79"/>
        <v>1351121.2039781974</v>
      </c>
      <c r="T159" s="59">
        <f t="shared" ca="1" si="79"/>
        <v>1587964.9550226186</v>
      </c>
      <c r="U159" s="59">
        <f t="shared" ca="1" si="79"/>
        <v>1836847.5575313289</v>
      </c>
      <c r="V159" s="59">
        <f t="shared" ca="1" si="79"/>
        <v>2104544.5084293312</v>
      </c>
      <c r="W159" s="59">
        <f t="shared" ca="1" si="79"/>
        <v>2384086.7031142237</v>
      </c>
      <c r="X159" s="59">
        <f t="shared" ca="1" si="79"/>
        <v>2664737.6034261342</v>
      </c>
      <c r="Y159" s="59">
        <f t="shared" ca="1" si="79"/>
        <v>2950930.0035806485</v>
      </c>
      <c r="Z159" s="59">
        <f t="shared" ca="1" si="79"/>
        <v>3231679.5118928128</v>
      </c>
      <c r="AA159" s="59">
        <f t="shared" ca="1" si="79"/>
        <v>3491019.0701203593</v>
      </c>
      <c r="AB159" s="59">
        <f t="shared" ca="1" si="79"/>
        <v>3716503.7330786469</v>
      </c>
      <c r="AC159" s="59">
        <f t="shared" ca="1" si="79"/>
        <v>3914906.5616131173</v>
      </c>
      <c r="AD159" s="59">
        <f t="shared" ca="1" si="79"/>
        <v>4042359.9394697472</v>
      </c>
      <c r="AE159" s="59">
        <f t="shared" ca="1" si="79"/>
        <v>4071546.7664952883</v>
      </c>
      <c r="AF159" s="59">
        <f t="shared" ca="1" si="79"/>
        <v>3981683.2011689479</v>
      </c>
      <c r="AG159" s="59">
        <f t="shared" ca="1" si="79"/>
        <v>3358888.2219920317</v>
      </c>
      <c r="AH159" s="59">
        <f t="shared" ca="1" si="79"/>
        <v>2643509.2163425013</v>
      </c>
      <c r="AI159" s="59">
        <f t="shared" ca="1" si="79"/>
        <v>1819253.6542366282</v>
      </c>
      <c r="AJ159" s="59">
        <f t="shared" ca="1" si="79"/>
        <v>866316.45688803447</v>
      </c>
      <c r="AK159" s="59">
        <f t="shared" ca="1" si="79"/>
        <v>0</v>
      </c>
      <c r="AL159" s="59">
        <f t="shared" ca="1" si="79"/>
        <v>0</v>
      </c>
      <c r="AM159" s="59">
        <f t="shared" ca="1" si="79"/>
        <v>0</v>
      </c>
      <c r="AN159" s="59">
        <f t="shared" ca="1" si="79"/>
        <v>0</v>
      </c>
      <c r="AO159" s="59">
        <f t="shared" ca="1" si="79"/>
        <v>0</v>
      </c>
      <c r="AP159" s="59">
        <f t="shared" ca="1" si="79"/>
        <v>0</v>
      </c>
      <c r="AQ159" s="59">
        <f t="shared" ca="1" si="79"/>
        <v>0</v>
      </c>
      <c r="AR159" s="59">
        <f t="shared" ca="1" si="79"/>
        <v>0</v>
      </c>
      <c r="AS159" s="59">
        <f t="shared" ca="1" si="79"/>
        <v>0</v>
      </c>
      <c r="AT159" s="59">
        <f t="shared" ca="1" si="79"/>
        <v>0</v>
      </c>
      <c r="AU159" s="59">
        <f t="shared" ca="1" si="79"/>
        <v>0</v>
      </c>
      <c r="AV159" s="59">
        <f t="shared" ca="1" si="79"/>
        <v>0</v>
      </c>
      <c r="AW159" s="59">
        <f t="shared" ca="1" si="79"/>
        <v>0</v>
      </c>
      <c r="AX159" s="59">
        <f t="shared" ca="1" si="79"/>
        <v>0</v>
      </c>
      <c r="AY159" s="59">
        <f t="shared" ca="1" si="79"/>
        <v>0</v>
      </c>
      <c r="AZ159" s="59">
        <f t="shared" ca="1" si="79"/>
        <v>0</v>
      </c>
      <c r="BA159" s="59">
        <f t="shared" ca="1" si="79"/>
        <v>0</v>
      </c>
      <c r="BB159" s="59">
        <f t="shared" ca="1" si="79"/>
        <v>0</v>
      </c>
      <c r="BC159" s="59">
        <f t="shared" ca="1" si="79"/>
        <v>0</v>
      </c>
      <c r="BD159" s="59">
        <f t="shared" ca="1" si="79"/>
        <v>0</v>
      </c>
      <c r="BE159" s="59">
        <f t="shared" ca="1" si="79"/>
        <v>0</v>
      </c>
      <c r="BF159" s="59">
        <f t="shared" ca="1" si="79"/>
        <v>0</v>
      </c>
      <c r="BG159" s="59">
        <f t="shared" ca="1" si="79"/>
        <v>0</v>
      </c>
      <c r="BH159" s="59">
        <f t="shared" ca="1" si="79"/>
        <v>0</v>
      </c>
      <c r="BI159" s="59">
        <f t="shared" ca="1" si="79"/>
        <v>0</v>
      </c>
      <c r="BJ159" s="59">
        <f t="shared" ca="1" si="79"/>
        <v>0</v>
      </c>
      <c r="BK159" s="59">
        <f t="shared" ca="1" si="79"/>
        <v>0</v>
      </c>
      <c r="BL159" s="59">
        <f t="shared" ca="1" si="79"/>
        <v>0</v>
      </c>
      <c r="BM159" s="59">
        <f t="shared" ca="1" si="79"/>
        <v>0</v>
      </c>
      <c r="BN159" s="59">
        <f t="shared" ca="1" si="79"/>
        <v>0</v>
      </c>
      <c r="BO159" s="59">
        <f t="shared" ca="1" si="79"/>
        <v>0</v>
      </c>
      <c r="BP159" s="59">
        <f t="shared" ca="1" si="79"/>
        <v>0</v>
      </c>
    </row>
    <row r="161" spans="4:68" x14ac:dyDescent="0.2">
      <c r="E161" s="1" t="s">
        <v>161</v>
      </c>
      <c r="I161" s="59">
        <f ca="1">MAX((I88+I158)*AssmCoTaxRate,0)</f>
        <v>0</v>
      </c>
      <c r="J161" s="59">
        <f t="shared" ref="J161:AN161" ca="1" si="80">MAX((J88+J158)*AssmCoTaxRate,0)</f>
        <v>0</v>
      </c>
      <c r="K161" s="59">
        <f t="shared" ca="1" si="80"/>
        <v>0</v>
      </c>
      <c r="L161" s="59">
        <f t="shared" ca="1" si="80"/>
        <v>0</v>
      </c>
      <c r="M161" s="59">
        <f t="shared" ca="1" si="80"/>
        <v>0</v>
      </c>
      <c r="N161" s="59">
        <f t="shared" ca="1" si="80"/>
        <v>0</v>
      </c>
      <c r="O161" s="59">
        <f t="shared" ca="1" si="80"/>
        <v>0</v>
      </c>
      <c r="P161" s="59">
        <f t="shared" ca="1" si="80"/>
        <v>0</v>
      </c>
      <c r="Q161" s="59">
        <f t="shared" ca="1" si="80"/>
        <v>0</v>
      </c>
      <c r="R161" s="59">
        <f t="shared" ca="1" si="80"/>
        <v>0</v>
      </c>
      <c r="S161" s="59">
        <f t="shared" ca="1" si="80"/>
        <v>0</v>
      </c>
      <c r="T161" s="59">
        <f t="shared" ca="1" si="80"/>
        <v>0</v>
      </c>
      <c r="U161" s="59">
        <f t="shared" ca="1" si="80"/>
        <v>0</v>
      </c>
      <c r="V161" s="59">
        <f t="shared" ca="1" si="80"/>
        <v>0</v>
      </c>
      <c r="W161" s="59">
        <f t="shared" ca="1" si="80"/>
        <v>0</v>
      </c>
      <c r="X161" s="59">
        <f t="shared" ca="1" si="80"/>
        <v>0</v>
      </c>
      <c r="Y161" s="59">
        <f t="shared" ca="1" si="80"/>
        <v>0</v>
      </c>
      <c r="Z161" s="59">
        <f t="shared" ca="1" si="80"/>
        <v>0</v>
      </c>
      <c r="AA161" s="59">
        <f t="shared" ca="1" si="80"/>
        <v>0</v>
      </c>
      <c r="AB161" s="59">
        <f t="shared" ca="1" si="80"/>
        <v>0</v>
      </c>
      <c r="AC161" s="59">
        <f t="shared" ca="1" si="80"/>
        <v>0</v>
      </c>
      <c r="AD161" s="59">
        <f t="shared" ca="1" si="80"/>
        <v>0</v>
      </c>
      <c r="AE161" s="59">
        <f t="shared" ca="1" si="80"/>
        <v>0</v>
      </c>
      <c r="AF161" s="59">
        <f t="shared" ca="1" si="80"/>
        <v>0</v>
      </c>
      <c r="AG161" s="59">
        <f t="shared" ca="1" si="80"/>
        <v>0</v>
      </c>
      <c r="AH161" s="59">
        <f t="shared" ca="1" si="80"/>
        <v>0</v>
      </c>
      <c r="AI161" s="59">
        <f t="shared" ca="1" si="80"/>
        <v>0</v>
      </c>
      <c r="AJ161" s="59">
        <f t="shared" ca="1" si="80"/>
        <v>0</v>
      </c>
      <c r="AK161" s="59">
        <f t="shared" ca="1" si="80"/>
        <v>67019.342700233537</v>
      </c>
      <c r="AL161" s="59">
        <f t="shared" ca="1" si="80"/>
        <v>369750.53768576734</v>
      </c>
      <c r="AM161" s="59">
        <f t="shared" ca="1" si="80"/>
        <v>422760.98529011256</v>
      </c>
      <c r="AN161" s="59">
        <f t="shared" ca="1" si="80"/>
        <v>481402.38785515237</v>
      </c>
      <c r="AO161" s="59">
        <f t="shared" ref="AO161:BP161" ca="1" si="81">MAX((AO88+AO158)*AssmCoTaxRate,0)</f>
        <v>541455.83445167739</v>
      </c>
      <c r="AP161" s="59">
        <f t="shared" ca="1" si="81"/>
        <v>613559.64146740863</v>
      </c>
      <c r="AQ161" s="59">
        <f t="shared" ca="1" si="81"/>
        <v>690310.33917260461</v>
      </c>
      <c r="AR161" s="59">
        <f t="shared" ca="1" si="81"/>
        <v>776622.79310293496</v>
      </c>
      <c r="AS161" s="59">
        <f t="shared" ca="1" si="81"/>
        <v>880300.34622853727</v>
      </c>
      <c r="AT161" s="59">
        <f t="shared" ca="1" si="81"/>
        <v>994571.72208638606</v>
      </c>
      <c r="AU161" s="59">
        <f t="shared" ca="1" si="81"/>
        <v>1120205.9689157302</v>
      </c>
      <c r="AV161" s="59">
        <f t="shared" ca="1" si="81"/>
        <v>1258314.8035971865</v>
      </c>
      <c r="AW161" s="59">
        <f t="shared" ca="1" si="81"/>
        <v>1410140.5478376206</v>
      </c>
      <c r="AX161" s="59">
        <f t="shared" ca="1" si="81"/>
        <v>1577044.7785996443</v>
      </c>
      <c r="AY161" s="59">
        <f t="shared" ca="1" si="81"/>
        <v>1760497.7904477436</v>
      </c>
      <c r="AZ161" s="59">
        <f t="shared" ca="1" si="81"/>
        <v>1962159.6177121748</v>
      </c>
      <c r="BA161" s="59">
        <f t="shared" ca="1" si="81"/>
        <v>2183912.878069432</v>
      </c>
      <c r="BB161" s="59">
        <f t="shared" ca="1" si="81"/>
        <v>2427588.06121023</v>
      </c>
      <c r="BC161" s="59">
        <f t="shared" ca="1" si="81"/>
        <v>2695440.0028853249</v>
      </c>
      <c r="BD161" s="59">
        <f t="shared" ca="1" si="81"/>
        <v>2989904.7886011153</v>
      </c>
      <c r="BE161" s="59">
        <f t="shared" ca="1" si="81"/>
        <v>4018825.1167840096</v>
      </c>
      <c r="BF161" s="59">
        <f t="shared" ca="1" si="81"/>
        <v>4445474.5181711065</v>
      </c>
      <c r="BG161" s="59">
        <f ca="1">MAX((BG88+BG158)*AssmCoTaxRate,0)</f>
        <v>4914429.845031647</v>
      </c>
      <c r="BH161" s="59">
        <f t="shared" ca="1" si="81"/>
        <v>5430071.7346823383</v>
      </c>
      <c r="BI161" s="59">
        <f t="shared" ca="1" si="81"/>
        <v>5996957.8524787026</v>
      </c>
      <c r="BJ161" s="59">
        <f t="shared" ca="1" si="81"/>
        <v>6620044.7586788833</v>
      </c>
      <c r="BK161" s="59">
        <f t="shared" ca="1" si="81"/>
        <v>7304816.1302351486</v>
      </c>
      <c r="BL161" s="59">
        <f t="shared" ca="1" si="81"/>
        <v>8057438.8293397687</v>
      </c>
      <c r="BM161" s="59">
        <f t="shared" ca="1" si="81"/>
        <v>8884670.1929431949</v>
      </c>
      <c r="BN161" s="59">
        <f t="shared" ca="1" si="81"/>
        <v>9793795.1352373622</v>
      </c>
      <c r="BO161" s="59">
        <f t="shared" ca="1" si="81"/>
        <v>10793007.256331393</v>
      </c>
      <c r="BP161" s="59">
        <f t="shared" ca="1" si="81"/>
        <v>11891197.801682213</v>
      </c>
    </row>
    <row r="163" spans="4:68" x14ac:dyDescent="0.2">
      <c r="D163" s="1" t="s">
        <v>138</v>
      </c>
    </row>
    <row r="164" spans="4:68" x14ac:dyDescent="0.2">
      <c r="E164" s="1" t="s">
        <v>149</v>
      </c>
      <c r="H164" s="67" t="s">
        <v>150</v>
      </c>
      <c r="I164" s="55">
        <f>H170</f>
        <v>0</v>
      </c>
      <c r="J164" s="55">
        <f t="shared" ref="J164:BP164" ca="1" si="82">I170</f>
        <v>3487.194</v>
      </c>
      <c r="K164" s="55">
        <f t="shared" ca="1" si="82"/>
        <v>5012.7280000000001</v>
      </c>
      <c r="L164" s="55">
        <f t="shared" ca="1" si="82"/>
        <v>9323.844000000001</v>
      </c>
      <c r="M164" s="55">
        <f t="shared" ca="1" si="82"/>
        <v>11977.960666666668</v>
      </c>
      <c r="N164" s="55">
        <f t="shared" ca="1" si="82"/>
        <v>13176.388000000001</v>
      </c>
      <c r="O164" s="55">
        <f t="shared" ca="1" si="82"/>
        <v>15941.107999999995</v>
      </c>
      <c r="P164" s="55">
        <f t="shared" ca="1" si="82"/>
        <v>18999.11066666666</v>
      </c>
      <c r="Q164" s="55">
        <f t="shared" ca="1" si="82"/>
        <v>19475.482666666656</v>
      </c>
      <c r="R164" s="55">
        <f t="shared" ca="1" si="82"/>
        <v>21544.266666666656</v>
      </c>
      <c r="S164" s="55">
        <f t="shared" ca="1" si="82"/>
        <v>24840.019999999993</v>
      </c>
      <c r="T164" s="55">
        <f t="shared" ca="1" si="82"/>
        <v>27958.126666666656</v>
      </c>
      <c r="U164" s="55">
        <f t="shared" ca="1" si="82"/>
        <v>31229.374666666659</v>
      </c>
      <c r="V164" s="55">
        <f t="shared" ca="1" si="82"/>
        <v>34706.80799999999</v>
      </c>
      <c r="W164" s="55">
        <f t="shared" ca="1" si="82"/>
        <v>38650.625333333315</v>
      </c>
      <c r="X164" s="55">
        <f t="shared" ca="1" si="82"/>
        <v>42586.395999999979</v>
      </c>
      <c r="Y164" s="55">
        <f t="shared" ca="1" si="82"/>
        <v>46177.765333333307</v>
      </c>
      <c r="Z164" s="55">
        <f t="shared" ca="1" si="82"/>
        <v>51093.11066666666</v>
      </c>
      <c r="AA164" s="55">
        <f t="shared" ca="1" si="82"/>
        <v>56389.513333333321</v>
      </c>
      <c r="AB164" s="55">
        <f t="shared" ca="1" si="82"/>
        <v>61747.842666666642</v>
      </c>
      <c r="AC164" s="55">
        <f t="shared" ca="1" si="82"/>
        <v>68005.031999999948</v>
      </c>
      <c r="AD164" s="55">
        <f t="shared" ca="1" si="82"/>
        <v>77779.785333333275</v>
      </c>
      <c r="AE164" s="55">
        <f t="shared" ca="1" si="82"/>
        <v>87184.72799999993</v>
      </c>
      <c r="AF164" s="55">
        <f t="shared" ca="1" si="82"/>
        <v>98465.429333333261</v>
      </c>
      <c r="AG164" s="55">
        <f t="shared" ca="1" si="82"/>
        <v>113960.9786666666</v>
      </c>
      <c r="AH164" s="55">
        <f t="shared" ca="1" si="82"/>
        <v>111186.39466666659</v>
      </c>
      <c r="AI164" s="55">
        <f t="shared" ca="1" si="82"/>
        <v>117515.13999999993</v>
      </c>
      <c r="AJ164" s="55">
        <f t="shared" ca="1" si="82"/>
        <v>125180.24666666656</v>
      </c>
      <c r="AK164" s="55">
        <f t="shared" ca="1" si="82"/>
        <v>132627.71999999991</v>
      </c>
      <c r="AL164" s="55">
        <f t="shared" ca="1" si="82"/>
        <v>141187.2733333332</v>
      </c>
      <c r="AM164" s="55">
        <f t="shared" ca="1" si="82"/>
        <v>151357.42666666652</v>
      </c>
      <c r="AN164" s="55">
        <f t="shared" ca="1" si="82"/>
        <v>160644.05333333311</v>
      </c>
      <c r="AO164" s="55">
        <f t="shared" ca="1" si="82"/>
        <v>170445.62666666647</v>
      </c>
      <c r="AP164" s="55">
        <f t="shared" ca="1" si="82"/>
        <v>182632.99999999985</v>
      </c>
      <c r="AQ164" s="55">
        <f t="shared" ca="1" si="82"/>
        <v>194216.42666666646</v>
      </c>
      <c r="AR164" s="55">
        <f t="shared" ca="1" si="82"/>
        <v>207501.57999999984</v>
      </c>
      <c r="AS164" s="55">
        <f t="shared" ca="1" si="82"/>
        <v>221605.16666666654</v>
      </c>
      <c r="AT164" s="55">
        <f t="shared" ca="1" si="82"/>
        <v>235027.31999999989</v>
      </c>
      <c r="AU164" s="55">
        <f t="shared" ca="1" si="82"/>
        <v>248792.71999999986</v>
      </c>
      <c r="AV164" s="55">
        <f t="shared" ca="1" si="82"/>
        <v>263836.71999999986</v>
      </c>
      <c r="AW164" s="55">
        <f t="shared" ca="1" si="82"/>
        <v>280370.39999999979</v>
      </c>
      <c r="AX164" s="55">
        <f t="shared" ca="1" si="82"/>
        <v>298540.47999999975</v>
      </c>
      <c r="AY164" s="55">
        <f t="shared" ca="1" si="82"/>
        <v>318509.35999999969</v>
      </c>
      <c r="AZ164" s="55">
        <f t="shared" ca="1" si="82"/>
        <v>340455.43999999959</v>
      </c>
      <c r="BA164" s="55">
        <f t="shared" ca="1" si="82"/>
        <v>364573.83999999956</v>
      </c>
      <c r="BB164" s="55">
        <f t="shared" ca="1" si="82"/>
        <v>391080.07999999967</v>
      </c>
      <c r="BC164" s="55">
        <f t="shared" ca="1" si="82"/>
        <v>420210.47999999952</v>
      </c>
      <c r="BD164" s="55">
        <f t="shared" ca="1" si="82"/>
        <v>452225.03999999957</v>
      </c>
      <c r="BE164" s="55">
        <f t="shared" ca="1" si="82"/>
        <v>487408.47999999963</v>
      </c>
      <c r="BF164" s="55">
        <f t="shared" ca="1" si="82"/>
        <v>604734.85599999968</v>
      </c>
      <c r="BG164" s="55">
        <f t="shared" ca="1" si="82"/>
        <v>663687.90399999963</v>
      </c>
      <c r="BH164" s="55">
        <f t="shared" ca="1" si="82"/>
        <v>719730.11199999962</v>
      </c>
      <c r="BI164" s="55">
        <f t="shared" ca="1" si="82"/>
        <v>781320.63999999943</v>
      </c>
      <c r="BJ164" s="55">
        <f t="shared" ca="1" si="82"/>
        <v>849008.41599999939</v>
      </c>
      <c r="BK164" s="55">
        <f t="shared" ca="1" si="82"/>
        <v>923397.47199999937</v>
      </c>
      <c r="BL164" s="55">
        <f t="shared" ca="1" si="82"/>
        <v>1005150.9759999993</v>
      </c>
      <c r="BM164" s="55">
        <f t="shared" ca="1" si="82"/>
        <v>1094998.5279999992</v>
      </c>
      <c r="BN164" s="55">
        <f t="shared" ca="1" si="82"/>
        <v>1193740.3839999994</v>
      </c>
      <c r="BO164" s="55">
        <f t="shared" ca="1" si="82"/>
        <v>1302257.3439999989</v>
      </c>
      <c r="BP164" s="55">
        <f t="shared" ca="1" si="82"/>
        <v>1421517.855999999</v>
      </c>
    </row>
    <row r="165" spans="4:68" x14ac:dyDescent="0.2">
      <c r="F165" s="1" t="s">
        <v>162</v>
      </c>
      <c r="I165" s="55">
        <f t="shared" ref="I165:AN165" ca="1" si="83">I75</f>
        <v>3874.66</v>
      </c>
      <c r="J165" s="55">
        <f t="shared" ca="1" si="83"/>
        <v>5139.18</v>
      </c>
      <c r="K165" s="55">
        <f t="shared" ca="1" si="83"/>
        <v>9788.8066666666673</v>
      </c>
      <c r="L165" s="55">
        <f t="shared" ca="1" si="83"/>
        <v>12221.200000000003</v>
      </c>
      <c r="M165" s="55">
        <f t="shared" ca="1" si="83"/>
        <v>13282.52</v>
      </c>
      <c r="N165" s="55">
        <f t="shared" ca="1" si="83"/>
        <v>16236.506666666666</v>
      </c>
      <c r="O165" s="55">
        <f t="shared" ca="1" si="83"/>
        <v>19306.066666666666</v>
      </c>
      <c r="P165" s="55">
        <f t="shared" ca="1" si="83"/>
        <v>19494.306666666664</v>
      </c>
      <c r="Q165" s="55">
        <f t="shared" ca="1" si="83"/>
        <v>21772.039999999994</v>
      </c>
      <c r="R165" s="55">
        <f t="shared" ca="1" si="83"/>
        <v>25180.906666666669</v>
      </c>
      <c r="S165" s="55">
        <f t="shared" ca="1" si="83"/>
        <v>28266.706666666665</v>
      </c>
      <c r="T165" s="55">
        <f t="shared" ca="1" si="83"/>
        <v>31558.560000000005</v>
      </c>
      <c r="U165" s="55">
        <f t="shared" ca="1" si="83"/>
        <v>35056.613333333335</v>
      </c>
      <c r="V165" s="55">
        <f t="shared" ca="1" si="83"/>
        <v>39049.96</v>
      </c>
      <c r="W165" s="55">
        <f t="shared" ca="1" si="83"/>
        <v>42979.333333333336</v>
      </c>
      <c r="X165" s="55">
        <f t="shared" ca="1" si="83"/>
        <v>46533.146666666667</v>
      </c>
      <c r="Y165" s="55">
        <f t="shared" ca="1" si="83"/>
        <v>51599.773333333345</v>
      </c>
      <c r="Z165" s="55">
        <f t="shared" ca="1" si="83"/>
        <v>56921.706666666672</v>
      </c>
      <c r="AA165" s="55">
        <f t="shared" ca="1" si="83"/>
        <v>62284.08</v>
      </c>
      <c r="AB165" s="55">
        <f t="shared" ca="1" si="83"/>
        <v>68640.693333333329</v>
      </c>
      <c r="AC165" s="55">
        <f t="shared" ca="1" si="83"/>
        <v>78795.240000000005</v>
      </c>
      <c r="AD165" s="55">
        <f t="shared" ca="1" si="83"/>
        <v>88116.893333333341</v>
      </c>
      <c r="AE165" s="55">
        <f t="shared" ca="1" si="83"/>
        <v>99615.266666666663</v>
      </c>
      <c r="AF165" s="55">
        <f t="shared" ca="1" si="83"/>
        <v>115554.94666666667</v>
      </c>
      <c r="AG165" s="55">
        <f t="shared" ca="1" si="83"/>
        <v>110700.99999999999</v>
      </c>
      <c r="AH165" s="55">
        <f t="shared" ca="1" si="83"/>
        <v>118272.26666666666</v>
      </c>
      <c r="AI165" s="55">
        <f t="shared" ca="1" si="83"/>
        <v>125947.79999999999</v>
      </c>
      <c r="AJ165" s="55">
        <f t="shared" ca="1" si="83"/>
        <v>133369.93333333335</v>
      </c>
      <c r="AK165" s="55">
        <f t="shared" ca="1" si="83"/>
        <v>142055.86666666667</v>
      </c>
      <c r="AL165" s="55">
        <f t="shared" ca="1" si="83"/>
        <v>152390.93333333335</v>
      </c>
      <c r="AM165" s="55">
        <f t="shared" ca="1" si="83"/>
        <v>161561.06666666665</v>
      </c>
      <c r="AN165" s="55">
        <f t="shared" ca="1" si="83"/>
        <v>171432.8</v>
      </c>
      <c r="AO165" s="55">
        <f t="shared" ref="AO165:BP165" ca="1" si="84">AO75</f>
        <v>183877.46666666667</v>
      </c>
      <c r="AP165" s="55">
        <f t="shared" ca="1" si="84"/>
        <v>195365.2</v>
      </c>
      <c r="AQ165" s="55">
        <f t="shared" ca="1" si="84"/>
        <v>208850.06666666668</v>
      </c>
      <c r="AR165" s="55">
        <f t="shared" ca="1" si="84"/>
        <v>223022.40000000002</v>
      </c>
      <c r="AS165" s="55">
        <f t="shared" ca="1" si="84"/>
        <v>236361.20000000004</v>
      </c>
      <c r="AT165" s="55">
        <f t="shared" ca="1" si="84"/>
        <v>250174.00000000003</v>
      </c>
      <c r="AU165" s="55">
        <f t="shared" ca="1" si="84"/>
        <v>265354.80000000005</v>
      </c>
      <c r="AV165" s="55">
        <f t="shared" ca="1" si="84"/>
        <v>282038.80000000005</v>
      </c>
      <c r="AW165" s="55">
        <f t="shared" ca="1" si="84"/>
        <v>300374</v>
      </c>
      <c r="AX165" s="55">
        <f t="shared" ca="1" si="84"/>
        <v>320524.40000000002</v>
      </c>
      <c r="AY165" s="55">
        <f t="shared" ca="1" si="84"/>
        <v>342670</v>
      </c>
      <c r="AZ165" s="55">
        <f t="shared" ca="1" si="84"/>
        <v>367007.60000000003</v>
      </c>
      <c r="BA165" s="55">
        <f t="shared" ca="1" si="84"/>
        <v>393754.80000000005</v>
      </c>
      <c r="BB165" s="55">
        <f t="shared" ca="1" si="84"/>
        <v>423150</v>
      </c>
      <c r="BC165" s="55">
        <f t="shared" ca="1" si="84"/>
        <v>455455.6</v>
      </c>
      <c r="BD165" s="55">
        <f t="shared" ca="1" si="84"/>
        <v>490958.80000000005</v>
      </c>
      <c r="BE165" s="55">
        <f t="shared" ca="1" si="84"/>
        <v>617376.64</v>
      </c>
      <c r="BF165" s="55">
        <f t="shared" ca="1" si="84"/>
        <v>668833.60000000009</v>
      </c>
      <c r="BG165" s="55">
        <f t="shared" ca="1" si="84"/>
        <v>725385.28</v>
      </c>
      <c r="BH165" s="55">
        <f t="shared" ca="1" si="84"/>
        <v>787535.67999999993</v>
      </c>
      <c r="BI165" s="55">
        <f t="shared" ca="1" si="84"/>
        <v>855838.71999999997</v>
      </c>
      <c r="BJ165" s="55">
        <f t="shared" ca="1" si="84"/>
        <v>930904</v>
      </c>
      <c r="BK165" s="55">
        <f t="shared" ca="1" si="84"/>
        <v>1013400.6400000001</v>
      </c>
      <c r="BL165" s="55">
        <f t="shared" ca="1" si="84"/>
        <v>1104064.96</v>
      </c>
      <c r="BM165" s="55">
        <f t="shared" ca="1" si="84"/>
        <v>1203704.3200000001</v>
      </c>
      <c r="BN165" s="55">
        <f t="shared" ca="1" si="84"/>
        <v>1313207.6800000002</v>
      </c>
      <c r="BO165" s="55">
        <f t="shared" ca="1" si="84"/>
        <v>1433552.32</v>
      </c>
      <c r="BP165" s="55">
        <f t="shared" ca="1" si="84"/>
        <v>1565811.52</v>
      </c>
    </row>
    <row r="166" spans="4:68" x14ac:dyDescent="0.2">
      <c r="F166" s="1" t="s">
        <v>163</v>
      </c>
      <c r="H166" s="1">
        <v>0</v>
      </c>
      <c r="I166" s="55">
        <f ca="1">-I165*INDEX(tblCreditorPayment[%],MATCH(Calculations!$H166,tblCreditorPayment[Months],0))</f>
        <v>-387.46600000000001</v>
      </c>
      <c r="J166" s="55">
        <f ca="1">-J165*INDEX(tblCreditorPayment[%],MATCH(Calculations!$H166,tblCreditorPayment[Months],0))</f>
        <v>-513.91800000000001</v>
      </c>
      <c r="K166" s="55">
        <f ca="1">-K165*INDEX(tblCreditorPayment[%],MATCH(Calculations!$H166,tblCreditorPayment[Months],0))</f>
        <v>-978.8806666666668</v>
      </c>
      <c r="L166" s="55">
        <f ca="1">-L165*INDEX(tblCreditorPayment[%],MATCH(Calculations!$H166,tblCreditorPayment[Months],0))</f>
        <v>-1222.1200000000003</v>
      </c>
      <c r="M166" s="55">
        <f ca="1">-M165*INDEX(tblCreditorPayment[%],MATCH(Calculations!$H166,tblCreditorPayment[Months],0))</f>
        <v>-1328.2520000000002</v>
      </c>
      <c r="N166" s="55">
        <f ca="1">-N165*INDEX(tblCreditorPayment[%],MATCH(Calculations!$H166,tblCreditorPayment[Months],0))</f>
        <v>-1623.6506666666667</v>
      </c>
      <c r="O166" s="55">
        <f ca="1">-O165*INDEX(tblCreditorPayment[%],MATCH(Calculations!$H166,tblCreditorPayment[Months],0))</f>
        <v>-1930.6066666666666</v>
      </c>
      <c r="P166" s="55">
        <f ca="1">-P165*INDEX(tblCreditorPayment[%],MATCH(Calculations!$H166,tblCreditorPayment[Months],0))</f>
        <v>-1949.4306666666664</v>
      </c>
      <c r="Q166" s="55">
        <f ca="1">-Q165*INDEX(tblCreditorPayment[%],MATCH(Calculations!$H166,tblCreditorPayment[Months],0))</f>
        <v>-2177.2039999999993</v>
      </c>
      <c r="R166" s="55">
        <f ca="1">-R165*INDEX(tblCreditorPayment[%],MATCH(Calculations!$H166,tblCreditorPayment[Months],0))</f>
        <v>-2518.0906666666669</v>
      </c>
      <c r="S166" s="55">
        <f ca="1">-S165*INDEX(tblCreditorPayment[%],MATCH(Calculations!$H166,tblCreditorPayment[Months],0))</f>
        <v>-2826.6706666666669</v>
      </c>
      <c r="T166" s="55">
        <f ca="1">-T165*INDEX(tblCreditorPayment[%],MATCH(Calculations!$H166,tblCreditorPayment[Months],0))</f>
        <v>-3155.8560000000007</v>
      </c>
      <c r="U166" s="55">
        <f ca="1">-U165*INDEX(tblCreditorPayment[%],MATCH(Calculations!$H166,tblCreditorPayment[Months],0))</f>
        <v>-3505.6613333333335</v>
      </c>
      <c r="V166" s="55">
        <f ca="1">-V165*INDEX(tblCreditorPayment[%],MATCH(Calculations!$H166,tblCreditorPayment[Months],0))</f>
        <v>-3904.9960000000001</v>
      </c>
      <c r="W166" s="55">
        <f ca="1">-W165*INDEX(tblCreditorPayment[%],MATCH(Calculations!$H166,tblCreditorPayment[Months],0))</f>
        <v>-4297.9333333333334</v>
      </c>
      <c r="X166" s="55">
        <f ca="1">-X165*INDEX(tblCreditorPayment[%],MATCH(Calculations!$H166,tblCreditorPayment[Months],0))</f>
        <v>-4653.3146666666671</v>
      </c>
      <c r="Y166" s="55">
        <f ca="1">-Y165*INDEX(tblCreditorPayment[%],MATCH(Calculations!$H166,tblCreditorPayment[Months],0))</f>
        <v>-5159.9773333333351</v>
      </c>
      <c r="Z166" s="55">
        <f ca="1">-Z165*INDEX(tblCreditorPayment[%],MATCH(Calculations!$H166,tblCreditorPayment[Months],0))</f>
        <v>-5692.1706666666678</v>
      </c>
      <c r="AA166" s="55">
        <f ca="1">-AA165*INDEX(tblCreditorPayment[%],MATCH(Calculations!$H166,tblCreditorPayment[Months],0))</f>
        <v>-6228.4080000000004</v>
      </c>
      <c r="AB166" s="55">
        <f ca="1">-AB165*INDEX(tblCreditorPayment[%],MATCH(Calculations!$H166,tblCreditorPayment[Months],0))</f>
        <v>-6864.0693333333329</v>
      </c>
      <c r="AC166" s="55">
        <f ca="1">-AC165*INDEX(tblCreditorPayment[%],MATCH(Calculations!$H166,tblCreditorPayment[Months],0))</f>
        <v>-7879.5240000000013</v>
      </c>
      <c r="AD166" s="55">
        <f ca="1">-AD165*INDEX(tblCreditorPayment[%],MATCH(Calculations!$H166,tblCreditorPayment[Months],0))</f>
        <v>-8811.6893333333337</v>
      </c>
      <c r="AE166" s="55">
        <f ca="1">-AE165*INDEX(tblCreditorPayment[%],MATCH(Calculations!$H166,tblCreditorPayment[Months],0))</f>
        <v>-9961.5266666666666</v>
      </c>
      <c r="AF166" s="55">
        <f ca="1">-AF165*INDEX(tblCreditorPayment[%],MATCH(Calculations!$H166,tblCreditorPayment[Months],0))</f>
        <v>-11555.494666666667</v>
      </c>
      <c r="AG166" s="55">
        <f ca="1">-AG165*INDEX(tblCreditorPayment[%],MATCH(Calculations!$H166,tblCreditorPayment[Months],0))</f>
        <v>-11070.099999999999</v>
      </c>
      <c r="AH166" s="55">
        <f ca="1">-AH165*INDEX(tblCreditorPayment[%],MATCH(Calculations!$H166,tblCreditorPayment[Months],0))</f>
        <v>-11827.226666666667</v>
      </c>
      <c r="AI166" s="55">
        <f ca="1">-AI165*INDEX(tblCreditorPayment[%],MATCH(Calculations!$H166,tblCreditorPayment[Months],0))</f>
        <v>-12594.779999999999</v>
      </c>
      <c r="AJ166" s="55">
        <f ca="1">-AJ165*INDEX(tblCreditorPayment[%],MATCH(Calculations!$H166,tblCreditorPayment[Months],0))</f>
        <v>-13336.993333333336</v>
      </c>
      <c r="AK166" s="55">
        <f ca="1">-AK165*INDEX(tblCreditorPayment[%],MATCH(Calculations!$H166,tblCreditorPayment[Months],0))</f>
        <v>-14205.586666666668</v>
      </c>
      <c r="AL166" s="55">
        <f ca="1">-AL165*INDEX(tblCreditorPayment[%],MATCH(Calculations!$H166,tblCreditorPayment[Months],0))</f>
        <v>-15239.093333333336</v>
      </c>
      <c r="AM166" s="55">
        <f ca="1">-AM165*INDEX(tblCreditorPayment[%],MATCH(Calculations!$H166,tblCreditorPayment[Months],0))</f>
        <v>-16156.106666666667</v>
      </c>
      <c r="AN166" s="55">
        <f ca="1">-AN165*INDEX(tblCreditorPayment[%],MATCH(Calculations!$H166,tblCreditorPayment[Months],0))</f>
        <v>-17143.28</v>
      </c>
      <c r="AO166" s="55">
        <f ca="1">-AO165*INDEX(tblCreditorPayment[%],MATCH(Calculations!$H166,tblCreditorPayment[Months],0))</f>
        <v>-18387.74666666667</v>
      </c>
      <c r="AP166" s="55">
        <f ca="1">-AP165*INDEX(tblCreditorPayment[%],MATCH(Calculations!$H166,tblCreditorPayment[Months],0))</f>
        <v>-19536.52</v>
      </c>
      <c r="AQ166" s="55">
        <f ca="1">-AQ165*INDEX(tblCreditorPayment[%],MATCH(Calculations!$H166,tblCreditorPayment[Months],0))</f>
        <v>-20885.006666666668</v>
      </c>
      <c r="AR166" s="55">
        <f ca="1">-AR165*INDEX(tblCreditorPayment[%],MATCH(Calculations!$H166,tblCreditorPayment[Months],0))</f>
        <v>-22302.240000000005</v>
      </c>
      <c r="AS166" s="55">
        <f ca="1">-AS165*INDEX(tblCreditorPayment[%],MATCH(Calculations!$H166,tblCreditorPayment[Months],0))</f>
        <v>-23636.120000000006</v>
      </c>
      <c r="AT166" s="55">
        <f ca="1">-AT165*INDEX(tblCreditorPayment[%],MATCH(Calculations!$H166,tblCreditorPayment[Months],0))</f>
        <v>-25017.400000000005</v>
      </c>
      <c r="AU166" s="55">
        <f ca="1">-AU165*INDEX(tblCreditorPayment[%],MATCH(Calculations!$H166,tblCreditorPayment[Months],0))</f>
        <v>-26535.480000000007</v>
      </c>
      <c r="AV166" s="55">
        <f ca="1">-AV165*INDEX(tblCreditorPayment[%],MATCH(Calculations!$H166,tblCreditorPayment[Months],0))</f>
        <v>-28203.880000000005</v>
      </c>
      <c r="AW166" s="55">
        <f ca="1">-AW165*INDEX(tblCreditorPayment[%],MATCH(Calculations!$H166,tblCreditorPayment[Months],0))</f>
        <v>-30037.4</v>
      </c>
      <c r="AX166" s="55">
        <f ca="1">-AX165*INDEX(tblCreditorPayment[%],MATCH(Calculations!$H166,tblCreditorPayment[Months],0))</f>
        <v>-32052.440000000002</v>
      </c>
      <c r="AY166" s="55">
        <f ca="1">-AY165*INDEX(tblCreditorPayment[%],MATCH(Calculations!$H166,tblCreditorPayment[Months],0))</f>
        <v>-34267</v>
      </c>
      <c r="AZ166" s="55">
        <f ca="1">-AZ165*INDEX(tblCreditorPayment[%],MATCH(Calculations!$H166,tblCreditorPayment[Months],0))</f>
        <v>-36700.76</v>
      </c>
      <c r="BA166" s="55">
        <f ca="1">-BA165*INDEX(tblCreditorPayment[%],MATCH(Calculations!$H166,tblCreditorPayment[Months],0))</f>
        <v>-39375.48000000001</v>
      </c>
      <c r="BB166" s="55">
        <f ca="1">-BB165*INDEX(tblCreditorPayment[%],MATCH(Calculations!$H166,tblCreditorPayment[Months],0))</f>
        <v>-42315</v>
      </c>
      <c r="BC166" s="55">
        <f ca="1">-BC165*INDEX(tblCreditorPayment[%],MATCH(Calculations!$H166,tblCreditorPayment[Months],0))</f>
        <v>-45545.56</v>
      </c>
      <c r="BD166" s="55">
        <f ca="1">-BD165*INDEX(tblCreditorPayment[%],MATCH(Calculations!$H166,tblCreditorPayment[Months],0))</f>
        <v>-49095.880000000005</v>
      </c>
      <c r="BE166" s="55">
        <f ca="1">-BE165*INDEX(tblCreditorPayment[%],MATCH(Calculations!$H166,tblCreditorPayment[Months],0))</f>
        <v>-61737.664000000004</v>
      </c>
      <c r="BF166" s="55">
        <f ca="1">-BF165*INDEX(tblCreditorPayment[%],MATCH(Calculations!$H166,tblCreditorPayment[Months],0))</f>
        <v>-66883.360000000015</v>
      </c>
      <c r="BG166" s="55">
        <f ca="1">-BG165*INDEX(tblCreditorPayment[%],MATCH(Calculations!$H166,tblCreditorPayment[Months],0))</f>
        <v>-72538.528000000006</v>
      </c>
      <c r="BH166" s="55">
        <f ca="1">-BH165*INDEX(tblCreditorPayment[%],MATCH(Calculations!$H166,tblCreditorPayment[Months],0))</f>
        <v>-78753.567999999999</v>
      </c>
      <c r="BI166" s="55">
        <f ca="1">-BI165*INDEX(tblCreditorPayment[%],MATCH(Calculations!$H166,tblCreditorPayment[Months],0))</f>
        <v>-85583.872000000003</v>
      </c>
      <c r="BJ166" s="55">
        <f ca="1">-BJ165*INDEX(tblCreditorPayment[%],MATCH(Calculations!$H166,tblCreditorPayment[Months],0))</f>
        <v>-93090.400000000009</v>
      </c>
      <c r="BK166" s="55">
        <f ca="1">-BK165*INDEX(tblCreditorPayment[%],MATCH(Calculations!$H166,tblCreditorPayment[Months],0))</f>
        <v>-101340.06400000001</v>
      </c>
      <c r="BL166" s="55">
        <f ca="1">-BL165*INDEX(tblCreditorPayment[%],MATCH(Calculations!$H166,tblCreditorPayment[Months],0))</f>
        <v>-110406.496</v>
      </c>
      <c r="BM166" s="55">
        <f ca="1">-BM165*INDEX(tblCreditorPayment[%],MATCH(Calculations!$H166,tblCreditorPayment[Months],0))</f>
        <v>-120370.43200000002</v>
      </c>
      <c r="BN166" s="55">
        <f ca="1">-BN165*INDEX(tblCreditorPayment[%],MATCH(Calculations!$H166,tblCreditorPayment[Months],0))</f>
        <v>-131320.76800000001</v>
      </c>
      <c r="BO166" s="55">
        <f ca="1">-BO165*INDEX(tblCreditorPayment[%],MATCH(Calculations!$H166,tblCreditorPayment[Months],0))</f>
        <v>-143355.23200000002</v>
      </c>
      <c r="BP166" s="55">
        <f ca="1">-BP165*INDEX(tblCreditorPayment[%],MATCH(Calculations!$H166,tblCreditorPayment[Months],0))</f>
        <v>-156581.152</v>
      </c>
    </row>
    <row r="167" spans="4:68" x14ac:dyDescent="0.2">
      <c r="F167" s="1" t="s">
        <v>163</v>
      </c>
      <c r="H167" s="1">
        <v>1</v>
      </c>
      <c r="I167" s="55"/>
      <c r="J167" s="55">
        <f ca="1">-I165*INDEX(tblCreditorPayment[%],MATCH(Calculations!$H167,tblCreditorPayment[Months],0))</f>
        <v>-3099.7280000000001</v>
      </c>
      <c r="K167" s="55">
        <f ca="1">-J165*INDEX(tblCreditorPayment[%],MATCH(Calculations!$H167,tblCreditorPayment[Months],0))</f>
        <v>-4111.3440000000001</v>
      </c>
      <c r="L167" s="55">
        <f ca="1">-K165*INDEX(tblCreditorPayment[%],MATCH(Calculations!$H167,tblCreditorPayment[Months],0))</f>
        <v>-7831.0453333333344</v>
      </c>
      <c r="M167" s="55">
        <f ca="1">-L165*INDEX(tblCreditorPayment[%],MATCH(Calculations!$H167,tblCreditorPayment[Months],0))</f>
        <v>-9776.9600000000028</v>
      </c>
      <c r="N167" s="55">
        <f ca="1">-M165*INDEX(tblCreditorPayment[%],MATCH(Calculations!$H167,tblCreditorPayment[Months],0))</f>
        <v>-10626.016000000001</v>
      </c>
      <c r="O167" s="55">
        <f ca="1">-N165*INDEX(tblCreditorPayment[%],MATCH(Calculations!$H167,tblCreditorPayment[Months],0))</f>
        <v>-12989.205333333333</v>
      </c>
      <c r="P167" s="55">
        <f ca="1">-O165*INDEX(tblCreditorPayment[%],MATCH(Calculations!$H167,tblCreditorPayment[Months],0))</f>
        <v>-15444.853333333333</v>
      </c>
      <c r="Q167" s="55">
        <f ca="1">-P165*INDEX(tblCreditorPayment[%],MATCH(Calculations!$H167,tblCreditorPayment[Months],0))</f>
        <v>-15595.445333333331</v>
      </c>
      <c r="R167" s="55">
        <f ca="1">-Q165*INDEX(tblCreditorPayment[%],MATCH(Calculations!$H167,tblCreditorPayment[Months],0))</f>
        <v>-17417.631999999994</v>
      </c>
      <c r="S167" s="55">
        <f ca="1">-R165*INDEX(tblCreditorPayment[%],MATCH(Calculations!$H167,tblCreditorPayment[Months],0))</f>
        <v>-20144.725333333336</v>
      </c>
      <c r="T167" s="55">
        <f ca="1">-S165*INDEX(tblCreditorPayment[%],MATCH(Calculations!$H167,tblCreditorPayment[Months],0))</f>
        <v>-22613.365333333335</v>
      </c>
      <c r="U167" s="55">
        <f ca="1">-T165*INDEX(tblCreditorPayment[%],MATCH(Calculations!$H167,tblCreditorPayment[Months],0))</f>
        <v>-25246.848000000005</v>
      </c>
      <c r="V167" s="55">
        <f ca="1">-U165*INDEX(tblCreditorPayment[%],MATCH(Calculations!$H167,tblCreditorPayment[Months],0))</f>
        <v>-28045.290666666668</v>
      </c>
      <c r="W167" s="55">
        <f ca="1">-V165*INDEX(tblCreditorPayment[%],MATCH(Calculations!$H167,tblCreditorPayment[Months],0))</f>
        <v>-31239.968000000001</v>
      </c>
      <c r="X167" s="55">
        <f ca="1">-W165*INDEX(tblCreditorPayment[%],MATCH(Calculations!$H167,tblCreditorPayment[Months],0))</f>
        <v>-34383.466666666667</v>
      </c>
      <c r="Y167" s="55">
        <f ca="1">-X165*INDEX(tblCreditorPayment[%],MATCH(Calculations!$H167,tblCreditorPayment[Months],0))</f>
        <v>-37226.517333333337</v>
      </c>
      <c r="Z167" s="55">
        <f ca="1">-Y165*INDEX(tblCreditorPayment[%],MATCH(Calculations!$H167,tblCreditorPayment[Months],0))</f>
        <v>-41279.818666666681</v>
      </c>
      <c r="AA167" s="55">
        <f ca="1">-Z165*INDEX(tblCreditorPayment[%],MATCH(Calculations!$H167,tblCreditorPayment[Months],0))</f>
        <v>-45537.365333333342</v>
      </c>
      <c r="AB167" s="55">
        <f ca="1">-AA165*INDEX(tblCreditorPayment[%],MATCH(Calculations!$H167,tblCreditorPayment[Months],0))</f>
        <v>-49827.264000000003</v>
      </c>
      <c r="AC167" s="55">
        <f ca="1">-AB165*INDEX(tblCreditorPayment[%],MATCH(Calculations!$H167,tblCreditorPayment[Months],0))</f>
        <v>-54912.554666666663</v>
      </c>
      <c r="AD167" s="55">
        <f ca="1">-AC165*INDEX(tblCreditorPayment[%],MATCH(Calculations!$H167,tblCreditorPayment[Months],0))</f>
        <v>-63036.19200000001</v>
      </c>
      <c r="AE167" s="55">
        <f ca="1">-AD165*INDEX(tblCreditorPayment[%],MATCH(Calculations!$H167,tblCreditorPayment[Months],0))</f>
        <v>-70493.51466666667</v>
      </c>
      <c r="AF167" s="55">
        <f ca="1">-AE165*INDEX(tblCreditorPayment[%],MATCH(Calculations!$H167,tblCreditorPayment[Months],0))</f>
        <v>-79692.213333333333</v>
      </c>
      <c r="AG167" s="55">
        <f ca="1">-AF165*INDEX(tblCreditorPayment[%],MATCH(Calculations!$H167,tblCreditorPayment[Months],0))</f>
        <v>-92443.957333333339</v>
      </c>
      <c r="AH167" s="55">
        <f ca="1">-AG165*INDEX(tblCreditorPayment[%],MATCH(Calculations!$H167,tblCreditorPayment[Months],0))</f>
        <v>-88560.799999999988</v>
      </c>
      <c r="AI167" s="55">
        <f ca="1">-AH165*INDEX(tblCreditorPayment[%],MATCH(Calculations!$H167,tblCreditorPayment[Months],0))</f>
        <v>-94617.813333333339</v>
      </c>
      <c r="AJ167" s="55">
        <f ca="1">-AI165*INDEX(tblCreditorPayment[%],MATCH(Calculations!$H167,tblCreditorPayment[Months],0))</f>
        <v>-100758.23999999999</v>
      </c>
      <c r="AK167" s="55">
        <f ca="1">-AJ165*INDEX(tblCreditorPayment[%],MATCH(Calculations!$H167,tblCreditorPayment[Months],0))</f>
        <v>-106695.94666666668</v>
      </c>
      <c r="AL167" s="55">
        <f ca="1">-AK165*INDEX(tblCreditorPayment[%],MATCH(Calculations!$H167,tblCreditorPayment[Months],0))</f>
        <v>-113644.69333333334</v>
      </c>
      <c r="AM167" s="55">
        <f ca="1">-AL165*INDEX(tblCreditorPayment[%],MATCH(Calculations!$H167,tblCreditorPayment[Months],0))</f>
        <v>-121912.74666666669</v>
      </c>
      <c r="AN167" s="55">
        <f ca="1">-AM165*INDEX(tblCreditorPayment[%],MATCH(Calculations!$H167,tblCreditorPayment[Months],0))</f>
        <v>-129248.85333333333</v>
      </c>
      <c r="AO167" s="55">
        <f ca="1">-AN165*INDEX(tblCreditorPayment[%],MATCH(Calculations!$H167,tblCreditorPayment[Months],0))</f>
        <v>-137146.23999999999</v>
      </c>
      <c r="AP167" s="55">
        <f ca="1">-AO165*INDEX(tblCreditorPayment[%],MATCH(Calculations!$H167,tblCreditorPayment[Months],0))</f>
        <v>-147101.97333333336</v>
      </c>
      <c r="AQ167" s="55">
        <f ca="1">-AP165*INDEX(tblCreditorPayment[%],MATCH(Calculations!$H167,tblCreditorPayment[Months],0))</f>
        <v>-156292.16</v>
      </c>
      <c r="AR167" s="55">
        <f ca="1">-AQ165*INDEX(tblCreditorPayment[%],MATCH(Calculations!$H167,tblCreditorPayment[Months],0))</f>
        <v>-167080.05333333334</v>
      </c>
      <c r="AS167" s="55">
        <f ca="1">-AR165*INDEX(tblCreditorPayment[%],MATCH(Calculations!$H167,tblCreditorPayment[Months],0))</f>
        <v>-178417.92000000004</v>
      </c>
      <c r="AT167" s="55">
        <f ca="1">-AS165*INDEX(tblCreditorPayment[%],MATCH(Calculations!$H167,tblCreditorPayment[Months],0))</f>
        <v>-189088.96000000005</v>
      </c>
      <c r="AU167" s="55">
        <f ca="1">-AT165*INDEX(tblCreditorPayment[%],MATCH(Calculations!$H167,tblCreditorPayment[Months],0))</f>
        <v>-200139.20000000004</v>
      </c>
      <c r="AV167" s="55">
        <f ca="1">-AU165*INDEX(tblCreditorPayment[%],MATCH(Calculations!$H167,tblCreditorPayment[Months],0))</f>
        <v>-212283.84000000005</v>
      </c>
      <c r="AW167" s="55">
        <f ca="1">-AV165*INDEX(tblCreditorPayment[%],MATCH(Calculations!$H167,tblCreditorPayment[Months],0))</f>
        <v>-225631.04000000004</v>
      </c>
      <c r="AX167" s="55">
        <f ca="1">-AW165*INDEX(tblCreditorPayment[%],MATCH(Calculations!$H167,tblCreditorPayment[Months],0))</f>
        <v>-240299.2</v>
      </c>
      <c r="AY167" s="55">
        <f ca="1">-AX165*INDEX(tblCreditorPayment[%],MATCH(Calculations!$H167,tblCreditorPayment[Months],0))</f>
        <v>-256419.52000000002</v>
      </c>
      <c r="AZ167" s="55">
        <f ca="1">-AY165*INDEX(tblCreditorPayment[%],MATCH(Calculations!$H167,tblCreditorPayment[Months],0))</f>
        <v>-274136</v>
      </c>
      <c r="BA167" s="55">
        <f ca="1">-AZ165*INDEX(tblCreditorPayment[%],MATCH(Calculations!$H167,tblCreditorPayment[Months],0))</f>
        <v>-293606.08</v>
      </c>
      <c r="BB167" s="55">
        <f ca="1">-BA165*INDEX(tblCreditorPayment[%],MATCH(Calculations!$H167,tblCreditorPayment[Months],0))</f>
        <v>-315003.84000000008</v>
      </c>
      <c r="BC167" s="55">
        <f ca="1">-BB165*INDEX(tblCreditorPayment[%],MATCH(Calculations!$H167,tblCreditorPayment[Months],0))</f>
        <v>-338520</v>
      </c>
      <c r="BD167" s="55">
        <f ca="1">-BC165*INDEX(tblCreditorPayment[%],MATCH(Calculations!$H167,tblCreditorPayment[Months],0))</f>
        <v>-364364.48</v>
      </c>
      <c r="BE167" s="55">
        <f ca="1">-BD165*INDEX(tblCreditorPayment[%],MATCH(Calculations!$H167,tblCreditorPayment[Months],0))</f>
        <v>-392767.04000000004</v>
      </c>
      <c r="BF167" s="55">
        <f ca="1">-BE165*INDEX(tblCreditorPayment[%],MATCH(Calculations!$H167,tblCreditorPayment[Months],0))</f>
        <v>-493901.31200000003</v>
      </c>
      <c r="BG167" s="55">
        <f ca="1">-BF165*INDEX(tblCreditorPayment[%],MATCH(Calculations!$H167,tblCreditorPayment[Months],0))</f>
        <v>-535066.88000000012</v>
      </c>
      <c r="BH167" s="55">
        <f ca="1">-BG165*INDEX(tblCreditorPayment[%],MATCH(Calculations!$H167,tblCreditorPayment[Months],0))</f>
        <v>-580308.22400000005</v>
      </c>
      <c r="BI167" s="55">
        <f ca="1">-BH165*INDEX(tblCreditorPayment[%],MATCH(Calculations!$H167,tblCreditorPayment[Months],0))</f>
        <v>-630028.54399999999</v>
      </c>
      <c r="BJ167" s="55">
        <f ca="1">-BI165*INDEX(tblCreditorPayment[%],MATCH(Calculations!$H167,tblCreditorPayment[Months],0))</f>
        <v>-684670.97600000002</v>
      </c>
      <c r="BK167" s="55">
        <f ca="1">-BJ165*INDEX(tblCreditorPayment[%],MATCH(Calculations!$H167,tblCreditorPayment[Months],0))</f>
        <v>-744723.20000000007</v>
      </c>
      <c r="BL167" s="55">
        <f ca="1">-BK165*INDEX(tblCreditorPayment[%],MATCH(Calculations!$H167,tblCreditorPayment[Months],0))</f>
        <v>-810720.5120000001</v>
      </c>
      <c r="BM167" s="55">
        <f ca="1">-BL165*INDEX(tblCreditorPayment[%],MATCH(Calculations!$H167,tblCreditorPayment[Months],0))</f>
        <v>-883251.96799999999</v>
      </c>
      <c r="BN167" s="55">
        <f ca="1">-BM165*INDEX(tblCreditorPayment[%],MATCH(Calculations!$H167,tblCreditorPayment[Months],0))</f>
        <v>-962963.45600000012</v>
      </c>
      <c r="BO167" s="55">
        <f ca="1">-BN165*INDEX(tblCreditorPayment[%],MATCH(Calculations!$H167,tblCreditorPayment[Months],0))</f>
        <v>-1050566.1440000001</v>
      </c>
      <c r="BP167" s="55">
        <f ca="1">-BO165*INDEX(tblCreditorPayment[%],MATCH(Calculations!$H167,tblCreditorPayment[Months],0))</f>
        <v>-1146841.8560000001</v>
      </c>
    </row>
    <row r="168" spans="4:68" x14ac:dyDescent="0.2">
      <c r="F168" s="1" t="s">
        <v>163</v>
      </c>
      <c r="H168" s="1">
        <v>2</v>
      </c>
      <c r="I168" s="55"/>
      <c r="J168" s="55"/>
      <c r="K168" s="55">
        <f ca="1">-I165*INDEX(tblCreditorPayment[%],MATCH(Calculations!$H168,tblCreditorPayment[Months],0))</f>
        <v>-387.46600000000001</v>
      </c>
      <c r="L168" s="55">
        <f ca="1">-J165*INDEX(tblCreditorPayment[%],MATCH(Calculations!$H168,tblCreditorPayment[Months],0))</f>
        <v>-513.91800000000001</v>
      </c>
      <c r="M168" s="55">
        <f ca="1">-K165*INDEX(tblCreditorPayment[%],MATCH(Calculations!$H168,tblCreditorPayment[Months],0))</f>
        <v>-978.8806666666668</v>
      </c>
      <c r="N168" s="55">
        <f ca="1">-L165*INDEX(tblCreditorPayment[%],MATCH(Calculations!$H168,tblCreditorPayment[Months],0))</f>
        <v>-1222.1200000000003</v>
      </c>
      <c r="O168" s="55">
        <f ca="1">-M165*INDEX(tblCreditorPayment[%],MATCH(Calculations!$H168,tblCreditorPayment[Months],0))</f>
        <v>-1328.2520000000002</v>
      </c>
      <c r="P168" s="55">
        <f ca="1">-N165*INDEX(tblCreditorPayment[%],MATCH(Calculations!$H168,tblCreditorPayment[Months],0))</f>
        <v>-1623.6506666666667</v>
      </c>
      <c r="Q168" s="55">
        <f ca="1">-O165*INDEX(tblCreditorPayment[%],MATCH(Calculations!$H168,tblCreditorPayment[Months],0))</f>
        <v>-1930.6066666666666</v>
      </c>
      <c r="R168" s="55">
        <f ca="1">-P165*INDEX(tblCreditorPayment[%],MATCH(Calculations!$H168,tblCreditorPayment[Months],0))</f>
        <v>-1949.4306666666664</v>
      </c>
      <c r="S168" s="55">
        <f ca="1">-Q165*INDEX(tblCreditorPayment[%],MATCH(Calculations!$H168,tblCreditorPayment[Months],0))</f>
        <v>-2177.2039999999993</v>
      </c>
      <c r="T168" s="55">
        <f ca="1">-R165*INDEX(tblCreditorPayment[%],MATCH(Calculations!$H168,tblCreditorPayment[Months],0))</f>
        <v>-2518.0906666666669</v>
      </c>
      <c r="U168" s="55">
        <f ca="1">-S165*INDEX(tblCreditorPayment[%],MATCH(Calculations!$H168,tblCreditorPayment[Months],0))</f>
        <v>-2826.6706666666669</v>
      </c>
      <c r="V168" s="55">
        <f ca="1">-T165*INDEX(tblCreditorPayment[%],MATCH(Calculations!$H168,tblCreditorPayment[Months],0))</f>
        <v>-3155.8560000000007</v>
      </c>
      <c r="W168" s="55">
        <f ca="1">-U165*INDEX(tblCreditorPayment[%],MATCH(Calculations!$H168,tblCreditorPayment[Months],0))</f>
        <v>-3505.6613333333335</v>
      </c>
      <c r="X168" s="55">
        <f ca="1">-V165*INDEX(tblCreditorPayment[%],MATCH(Calculations!$H168,tblCreditorPayment[Months],0))</f>
        <v>-3904.9960000000001</v>
      </c>
      <c r="Y168" s="55">
        <f ca="1">-W165*INDEX(tblCreditorPayment[%],MATCH(Calculations!$H168,tblCreditorPayment[Months],0))</f>
        <v>-4297.9333333333334</v>
      </c>
      <c r="Z168" s="55">
        <f ca="1">-X165*INDEX(tblCreditorPayment[%],MATCH(Calculations!$H168,tblCreditorPayment[Months],0))</f>
        <v>-4653.3146666666671</v>
      </c>
      <c r="AA168" s="55">
        <f ca="1">-Y165*INDEX(tblCreditorPayment[%],MATCH(Calculations!$H168,tblCreditorPayment[Months],0))</f>
        <v>-5159.9773333333351</v>
      </c>
      <c r="AB168" s="55">
        <f ca="1">-Z165*INDEX(tblCreditorPayment[%],MATCH(Calculations!$H168,tblCreditorPayment[Months],0))</f>
        <v>-5692.1706666666678</v>
      </c>
      <c r="AC168" s="55">
        <f ca="1">-AA165*INDEX(tblCreditorPayment[%],MATCH(Calculations!$H168,tblCreditorPayment[Months],0))</f>
        <v>-6228.4080000000004</v>
      </c>
      <c r="AD168" s="55">
        <f ca="1">-AB165*INDEX(tblCreditorPayment[%],MATCH(Calculations!$H168,tblCreditorPayment[Months],0))</f>
        <v>-6864.0693333333329</v>
      </c>
      <c r="AE168" s="55">
        <f ca="1">-AC165*INDEX(tblCreditorPayment[%],MATCH(Calculations!$H168,tblCreditorPayment[Months],0))</f>
        <v>-7879.5240000000013</v>
      </c>
      <c r="AF168" s="55">
        <f ca="1">-AD165*INDEX(tblCreditorPayment[%],MATCH(Calculations!$H168,tblCreditorPayment[Months],0))</f>
        <v>-8811.6893333333337</v>
      </c>
      <c r="AG168" s="55">
        <f ca="1">-AE165*INDEX(tblCreditorPayment[%],MATCH(Calculations!$H168,tblCreditorPayment[Months],0))</f>
        <v>-9961.5266666666666</v>
      </c>
      <c r="AH168" s="55">
        <f ca="1">-AF165*INDEX(tblCreditorPayment[%],MATCH(Calculations!$H168,tblCreditorPayment[Months],0))</f>
        <v>-11555.494666666667</v>
      </c>
      <c r="AI168" s="55">
        <f ca="1">-AG165*INDEX(tblCreditorPayment[%],MATCH(Calculations!$H168,tblCreditorPayment[Months],0))</f>
        <v>-11070.099999999999</v>
      </c>
      <c r="AJ168" s="55">
        <f ca="1">-AH165*INDEX(tblCreditorPayment[%],MATCH(Calculations!$H168,tblCreditorPayment[Months],0))</f>
        <v>-11827.226666666667</v>
      </c>
      <c r="AK168" s="55">
        <f ca="1">-AI165*INDEX(tblCreditorPayment[%],MATCH(Calculations!$H168,tblCreditorPayment[Months],0))</f>
        <v>-12594.779999999999</v>
      </c>
      <c r="AL168" s="55">
        <f ca="1">-AJ165*INDEX(tblCreditorPayment[%],MATCH(Calculations!$H168,tblCreditorPayment[Months],0))</f>
        <v>-13336.993333333336</v>
      </c>
      <c r="AM168" s="55">
        <f ca="1">-AK165*INDEX(tblCreditorPayment[%],MATCH(Calculations!$H168,tblCreditorPayment[Months],0))</f>
        <v>-14205.586666666668</v>
      </c>
      <c r="AN168" s="55">
        <f ca="1">-AL165*INDEX(tblCreditorPayment[%],MATCH(Calculations!$H168,tblCreditorPayment[Months],0))</f>
        <v>-15239.093333333336</v>
      </c>
      <c r="AO168" s="55">
        <f ca="1">-AM165*INDEX(tblCreditorPayment[%],MATCH(Calculations!$H168,tblCreditorPayment[Months],0))</f>
        <v>-16156.106666666667</v>
      </c>
      <c r="AP168" s="55">
        <f ca="1">-AN165*INDEX(tblCreditorPayment[%],MATCH(Calculations!$H168,tblCreditorPayment[Months],0))</f>
        <v>-17143.28</v>
      </c>
      <c r="AQ168" s="55">
        <f ca="1">-AO165*INDEX(tblCreditorPayment[%],MATCH(Calculations!$H168,tblCreditorPayment[Months],0))</f>
        <v>-18387.74666666667</v>
      </c>
      <c r="AR168" s="55">
        <f ca="1">-AP165*INDEX(tblCreditorPayment[%],MATCH(Calculations!$H168,tblCreditorPayment[Months],0))</f>
        <v>-19536.52</v>
      </c>
      <c r="AS168" s="55">
        <f ca="1">-AQ165*INDEX(tblCreditorPayment[%],MATCH(Calculations!$H168,tblCreditorPayment[Months],0))</f>
        <v>-20885.006666666668</v>
      </c>
      <c r="AT168" s="55">
        <f ca="1">-AR165*INDEX(tblCreditorPayment[%],MATCH(Calculations!$H168,tblCreditorPayment[Months],0))</f>
        <v>-22302.240000000005</v>
      </c>
      <c r="AU168" s="55">
        <f ca="1">-AS165*INDEX(tblCreditorPayment[%],MATCH(Calculations!$H168,tblCreditorPayment[Months],0))</f>
        <v>-23636.120000000006</v>
      </c>
      <c r="AV168" s="55">
        <f ca="1">-AT165*INDEX(tblCreditorPayment[%],MATCH(Calculations!$H168,tblCreditorPayment[Months],0))</f>
        <v>-25017.400000000005</v>
      </c>
      <c r="AW168" s="55">
        <f ca="1">-AU165*INDEX(tblCreditorPayment[%],MATCH(Calculations!$H168,tblCreditorPayment[Months],0))</f>
        <v>-26535.480000000007</v>
      </c>
      <c r="AX168" s="55">
        <f ca="1">-AV165*INDEX(tblCreditorPayment[%],MATCH(Calculations!$H168,tblCreditorPayment[Months],0))</f>
        <v>-28203.880000000005</v>
      </c>
      <c r="AY168" s="55">
        <f ca="1">-AW165*INDEX(tblCreditorPayment[%],MATCH(Calculations!$H168,tblCreditorPayment[Months],0))</f>
        <v>-30037.4</v>
      </c>
      <c r="AZ168" s="55">
        <f ca="1">-AX165*INDEX(tblCreditorPayment[%],MATCH(Calculations!$H168,tblCreditorPayment[Months],0))</f>
        <v>-32052.440000000002</v>
      </c>
      <c r="BA168" s="55">
        <f ca="1">-AY165*INDEX(tblCreditorPayment[%],MATCH(Calculations!$H168,tblCreditorPayment[Months],0))</f>
        <v>-34267</v>
      </c>
      <c r="BB168" s="55">
        <f ca="1">-AZ165*INDEX(tblCreditorPayment[%],MATCH(Calculations!$H168,tblCreditorPayment[Months],0))</f>
        <v>-36700.76</v>
      </c>
      <c r="BC168" s="55">
        <f ca="1">-BA165*INDEX(tblCreditorPayment[%],MATCH(Calculations!$H168,tblCreditorPayment[Months],0))</f>
        <v>-39375.48000000001</v>
      </c>
      <c r="BD168" s="55">
        <f ca="1">-BB165*INDEX(tblCreditorPayment[%],MATCH(Calculations!$H168,tblCreditorPayment[Months],0))</f>
        <v>-42315</v>
      </c>
      <c r="BE168" s="55">
        <f ca="1">-BC165*INDEX(tblCreditorPayment[%],MATCH(Calculations!$H168,tblCreditorPayment[Months],0))</f>
        <v>-45545.56</v>
      </c>
      <c r="BF168" s="55">
        <f ca="1">-BD165*INDEX(tblCreditorPayment[%],MATCH(Calculations!$H168,tblCreditorPayment[Months],0))</f>
        <v>-49095.880000000005</v>
      </c>
      <c r="BG168" s="55">
        <f ca="1">-BE165*INDEX(tblCreditorPayment[%],MATCH(Calculations!$H168,tblCreditorPayment[Months],0))</f>
        <v>-61737.664000000004</v>
      </c>
      <c r="BH168" s="55">
        <f ca="1">-BF165*INDEX(tblCreditorPayment[%],MATCH(Calculations!$H168,tblCreditorPayment[Months],0))</f>
        <v>-66883.360000000015</v>
      </c>
      <c r="BI168" s="55">
        <f ca="1">-BG165*INDEX(tblCreditorPayment[%],MATCH(Calculations!$H168,tblCreditorPayment[Months],0))</f>
        <v>-72538.528000000006</v>
      </c>
      <c r="BJ168" s="55">
        <f ca="1">-BH165*INDEX(tblCreditorPayment[%],MATCH(Calculations!$H168,tblCreditorPayment[Months],0))</f>
        <v>-78753.567999999999</v>
      </c>
      <c r="BK168" s="55">
        <f ca="1">-BI165*INDEX(tblCreditorPayment[%],MATCH(Calculations!$H168,tblCreditorPayment[Months],0))</f>
        <v>-85583.872000000003</v>
      </c>
      <c r="BL168" s="55">
        <f ca="1">-BJ165*INDEX(tblCreditorPayment[%],MATCH(Calculations!$H168,tblCreditorPayment[Months],0))</f>
        <v>-93090.400000000009</v>
      </c>
      <c r="BM168" s="55">
        <f ca="1">-BK165*INDEX(tblCreditorPayment[%],MATCH(Calculations!$H168,tblCreditorPayment[Months],0))</f>
        <v>-101340.06400000001</v>
      </c>
      <c r="BN168" s="55">
        <f ca="1">-BL165*INDEX(tblCreditorPayment[%],MATCH(Calculations!$H168,tblCreditorPayment[Months],0))</f>
        <v>-110406.496</v>
      </c>
      <c r="BO168" s="55">
        <f ca="1">-BM165*INDEX(tblCreditorPayment[%],MATCH(Calculations!$H168,tblCreditorPayment[Months],0))</f>
        <v>-120370.43200000002</v>
      </c>
      <c r="BP168" s="55">
        <f ca="1">-BN165*INDEX(tblCreditorPayment[%],MATCH(Calculations!$H168,tblCreditorPayment[Months],0))</f>
        <v>-131320.76800000001</v>
      </c>
    </row>
    <row r="169" spans="4:68" x14ac:dyDescent="0.2">
      <c r="F169" s="1" t="s">
        <v>163</v>
      </c>
      <c r="H169" s="1">
        <v>3</v>
      </c>
      <c r="I169" s="55"/>
      <c r="J169" s="55"/>
      <c r="K169" s="55"/>
      <c r="L169" s="55">
        <f ca="1">-I165*INDEX(tblCreditorPayment[%],MATCH(Calculations!$H169,tblCreditorPayment[Months],0))</f>
        <v>0</v>
      </c>
      <c r="M169" s="55">
        <f ca="1">-J165*INDEX(tblCreditorPayment[%],MATCH(Calculations!$H169,tblCreditorPayment[Months],0))</f>
        <v>0</v>
      </c>
      <c r="N169" s="55">
        <f ca="1">-K165*INDEX(tblCreditorPayment[%],MATCH(Calculations!$H169,tblCreditorPayment[Months],0))</f>
        <v>0</v>
      </c>
      <c r="O169" s="55">
        <f ca="1">-L165*INDEX(tblCreditorPayment[%],MATCH(Calculations!$H169,tblCreditorPayment[Months],0))</f>
        <v>0</v>
      </c>
      <c r="P169" s="55">
        <f ca="1">-M165*INDEX(tblCreditorPayment[%],MATCH(Calculations!$H169,tblCreditorPayment[Months],0))</f>
        <v>0</v>
      </c>
      <c r="Q169" s="55">
        <f ca="1">-N165*INDEX(tblCreditorPayment[%],MATCH(Calculations!$H169,tblCreditorPayment[Months],0))</f>
        <v>0</v>
      </c>
      <c r="R169" s="55">
        <f ca="1">-O165*INDEX(tblCreditorPayment[%],MATCH(Calculations!$H169,tblCreditorPayment[Months],0))</f>
        <v>0</v>
      </c>
      <c r="S169" s="55">
        <f ca="1">-P165*INDEX(tblCreditorPayment[%],MATCH(Calculations!$H169,tblCreditorPayment[Months],0))</f>
        <v>0</v>
      </c>
      <c r="T169" s="55">
        <f ca="1">-Q165*INDEX(tblCreditorPayment[%],MATCH(Calculations!$H169,tblCreditorPayment[Months],0))</f>
        <v>0</v>
      </c>
      <c r="U169" s="55">
        <f ca="1">-R165*INDEX(tblCreditorPayment[%],MATCH(Calculations!$H169,tblCreditorPayment[Months],0))</f>
        <v>0</v>
      </c>
      <c r="V169" s="55">
        <f ca="1">-S165*INDEX(tblCreditorPayment[%],MATCH(Calculations!$H169,tblCreditorPayment[Months],0))</f>
        <v>0</v>
      </c>
      <c r="W169" s="55">
        <f ca="1">-T165*INDEX(tblCreditorPayment[%],MATCH(Calculations!$H169,tblCreditorPayment[Months],0))</f>
        <v>0</v>
      </c>
      <c r="X169" s="55">
        <f ca="1">-U165*INDEX(tblCreditorPayment[%],MATCH(Calculations!$H169,tblCreditorPayment[Months],0))</f>
        <v>0</v>
      </c>
      <c r="Y169" s="55">
        <f ca="1">-V165*INDEX(tblCreditorPayment[%],MATCH(Calculations!$H169,tblCreditorPayment[Months],0))</f>
        <v>0</v>
      </c>
      <c r="Z169" s="55">
        <f ca="1">-W165*INDEX(tblCreditorPayment[%],MATCH(Calculations!$H169,tblCreditorPayment[Months],0))</f>
        <v>0</v>
      </c>
      <c r="AA169" s="55">
        <f ca="1">-X165*INDEX(tblCreditorPayment[%],MATCH(Calculations!$H169,tblCreditorPayment[Months],0))</f>
        <v>0</v>
      </c>
      <c r="AB169" s="55">
        <f ca="1">-Y165*INDEX(tblCreditorPayment[%],MATCH(Calculations!$H169,tblCreditorPayment[Months],0))</f>
        <v>0</v>
      </c>
      <c r="AC169" s="55">
        <f ca="1">-Z165*INDEX(tblCreditorPayment[%],MATCH(Calculations!$H169,tblCreditorPayment[Months],0))</f>
        <v>0</v>
      </c>
      <c r="AD169" s="55">
        <f ca="1">-AA165*INDEX(tblCreditorPayment[%],MATCH(Calculations!$H169,tblCreditorPayment[Months],0))</f>
        <v>0</v>
      </c>
      <c r="AE169" s="55">
        <f ca="1">-AB165*INDEX(tblCreditorPayment[%],MATCH(Calculations!$H169,tblCreditorPayment[Months],0))</f>
        <v>0</v>
      </c>
      <c r="AF169" s="55">
        <f ca="1">-AC165*INDEX(tblCreditorPayment[%],MATCH(Calculations!$H169,tblCreditorPayment[Months],0))</f>
        <v>0</v>
      </c>
      <c r="AG169" s="55">
        <f ca="1">-AD165*INDEX(tblCreditorPayment[%],MATCH(Calculations!$H169,tblCreditorPayment[Months],0))</f>
        <v>0</v>
      </c>
      <c r="AH169" s="55">
        <f ca="1">-AE165*INDEX(tblCreditorPayment[%],MATCH(Calculations!$H169,tblCreditorPayment[Months],0))</f>
        <v>0</v>
      </c>
      <c r="AI169" s="55">
        <f ca="1">-AF165*INDEX(tblCreditorPayment[%],MATCH(Calculations!$H169,tblCreditorPayment[Months],0))</f>
        <v>0</v>
      </c>
      <c r="AJ169" s="55">
        <f ca="1">-AG165*INDEX(tblCreditorPayment[%],MATCH(Calculations!$H169,tblCreditorPayment[Months],0))</f>
        <v>0</v>
      </c>
      <c r="AK169" s="55">
        <f ca="1">-AH165*INDEX(tblCreditorPayment[%],MATCH(Calculations!$H169,tblCreditorPayment[Months],0))</f>
        <v>0</v>
      </c>
      <c r="AL169" s="55">
        <f ca="1">-AI165*INDEX(tblCreditorPayment[%],MATCH(Calculations!$H169,tblCreditorPayment[Months],0))</f>
        <v>0</v>
      </c>
      <c r="AM169" s="55">
        <f ca="1">-AJ165*INDEX(tblCreditorPayment[%],MATCH(Calculations!$H169,tblCreditorPayment[Months],0))</f>
        <v>0</v>
      </c>
      <c r="AN169" s="55">
        <f ca="1">-AK165*INDEX(tblCreditorPayment[%],MATCH(Calculations!$H169,tblCreditorPayment[Months],0))</f>
        <v>0</v>
      </c>
      <c r="AO169" s="55">
        <f ca="1">-AL165*INDEX(tblCreditorPayment[%],MATCH(Calculations!$H169,tblCreditorPayment[Months],0))</f>
        <v>0</v>
      </c>
      <c r="AP169" s="55">
        <f ca="1">-AM165*INDEX(tblCreditorPayment[%],MATCH(Calculations!$H169,tblCreditorPayment[Months],0))</f>
        <v>0</v>
      </c>
      <c r="AQ169" s="55">
        <f ca="1">-AN165*INDEX(tblCreditorPayment[%],MATCH(Calculations!$H169,tblCreditorPayment[Months],0))</f>
        <v>0</v>
      </c>
      <c r="AR169" s="55">
        <f ca="1">-AO165*INDEX(tblCreditorPayment[%],MATCH(Calculations!$H169,tblCreditorPayment[Months],0))</f>
        <v>0</v>
      </c>
      <c r="AS169" s="55">
        <f ca="1">-AP165*INDEX(tblCreditorPayment[%],MATCH(Calculations!$H169,tblCreditorPayment[Months],0))</f>
        <v>0</v>
      </c>
      <c r="AT169" s="55">
        <f ca="1">-AQ165*INDEX(tblCreditorPayment[%],MATCH(Calculations!$H169,tblCreditorPayment[Months],0))</f>
        <v>0</v>
      </c>
      <c r="AU169" s="55">
        <f ca="1">-AR165*INDEX(tblCreditorPayment[%],MATCH(Calculations!$H169,tblCreditorPayment[Months],0))</f>
        <v>0</v>
      </c>
      <c r="AV169" s="55">
        <f ca="1">-AS165*INDEX(tblCreditorPayment[%],MATCH(Calculations!$H169,tblCreditorPayment[Months],0))</f>
        <v>0</v>
      </c>
      <c r="AW169" s="55">
        <f ca="1">-AT165*INDEX(tblCreditorPayment[%],MATCH(Calculations!$H169,tblCreditorPayment[Months],0))</f>
        <v>0</v>
      </c>
      <c r="AX169" s="55">
        <f ca="1">-AU165*INDEX(tblCreditorPayment[%],MATCH(Calculations!$H169,tblCreditorPayment[Months],0))</f>
        <v>0</v>
      </c>
      <c r="AY169" s="55">
        <f ca="1">-AV165*INDEX(tblCreditorPayment[%],MATCH(Calculations!$H169,tblCreditorPayment[Months],0))</f>
        <v>0</v>
      </c>
      <c r="AZ169" s="55">
        <f ca="1">-AW165*INDEX(tblCreditorPayment[%],MATCH(Calculations!$H169,tblCreditorPayment[Months],0))</f>
        <v>0</v>
      </c>
      <c r="BA169" s="55">
        <f ca="1">-AX165*INDEX(tblCreditorPayment[%],MATCH(Calculations!$H169,tblCreditorPayment[Months],0))</f>
        <v>0</v>
      </c>
      <c r="BB169" s="55">
        <f ca="1">-AY165*INDEX(tblCreditorPayment[%],MATCH(Calculations!$H169,tblCreditorPayment[Months],0))</f>
        <v>0</v>
      </c>
      <c r="BC169" s="55">
        <f ca="1">-AZ165*INDEX(tblCreditorPayment[%],MATCH(Calculations!$H169,tblCreditorPayment[Months],0))</f>
        <v>0</v>
      </c>
      <c r="BD169" s="55">
        <f ca="1">-BA165*INDEX(tblCreditorPayment[%],MATCH(Calculations!$H169,tblCreditorPayment[Months],0))</f>
        <v>0</v>
      </c>
      <c r="BE169" s="55">
        <f ca="1">-BB165*INDEX(tblCreditorPayment[%],MATCH(Calculations!$H169,tblCreditorPayment[Months],0))</f>
        <v>0</v>
      </c>
      <c r="BF169" s="55">
        <f ca="1">-BC165*INDEX(tblCreditorPayment[%],MATCH(Calculations!$H169,tblCreditorPayment[Months],0))</f>
        <v>0</v>
      </c>
      <c r="BG169" s="55">
        <f ca="1">-BD165*INDEX(tblCreditorPayment[%],MATCH(Calculations!$H169,tblCreditorPayment[Months],0))</f>
        <v>0</v>
      </c>
      <c r="BH169" s="55">
        <f ca="1">-BE165*INDEX(tblCreditorPayment[%],MATCH(Calculations!$H169,tblCreditorPayment[Months],0))</f>
        <v>0</v>
      </c>
      <c r="BI169" s="55">
        <f ca="1">-BF165*INDEX(tblCreditorPayment[%],MATCH(Calculations!$H169,tblCreditorPayment[Months],0))</f>
        <v>0</v>
      </c>
      <c r="BJ169" s="55">
        <f ca="1">-BG165*INDEX(tblCreditorPayment[%],MATCH(Calculations!$H169,tblCreditorPayment[Months],0))</f>
        <v>0</v>
      </c>
      <c r="BK169" s="55">
        <f ca="1">-BH165*INDEX(tblCreditorPayment[%],MATCH(Calculations!$H169,tblCreditorPayment[Months],0))</f>
        <v>0</v>
      </c>
      <c r="BL169" s="55">
        <f ca="1">-BI165*INDEX(tblCreditorPayment[%],MATCH(Calculations!$H169,tblCreditorPayment[Months],0))</f>
        <v>0</v>
      </c>
      <c r="BM169" s="55">
        <f ca="1">-BJ165*INDEX(tblCreditorPayment[%],MATCH(Calculations!$H169,tblCreditorPayment[Months],0))</f>
        <v>0</v>
      </c>
      <c r="BN169" s="55">
        <f ca="1">-BK165*INDEX(tblCreditorPayment[%],MATCH(Calculations!$H169,tblCreditorPayment[Months],0))</f>
        <v>0</v>
      </c>
      <c r="BO169" s="55">
        <f ca="1">-BL165*INDEX(tblCreditorPayment[%],MATCH(Calculations!$H169,tblCreditorPayment[Months],0))</f>
        <v>0</v>
      </c>
      <c r="BP169" s="55">
        <f ca="1">-BM165*INDEX(tblCreditorPayment[%],MATCH(Calculations!$H169,tblCreditorPayment[Months],0))</f>
        <v>0</v>
      </c>
    </row>
    <row r="170" spans="4:68" x14ac:dyDescent="0.2">
      <c r="E170" s="1" t="s">
        <v>153</v>
      </c>
      <c r="I170" s="59">
        <f ca="1">SUM(I164:I169)</f>
        <v>3487.194</v>
      </c>
      <c r="J170" s="59">
        <f t="shared" ref="J170:BP170" ca="1" si="85">SUM(J164:J169)</f>
        <v>5012.7280000000001</v>
      </c>
      <c r="K170" s="59">
        <f t="shared" ca="1" si="85"/>
        <v>9323.844000000001</v>
      </c>
      <c r="L170" s="59">
        <f t="shared" ca="1" si="85"/>
        <v>11977.960666666668</v>
      </c>
      <c r="M170" s="59">
        <f t="shared" ca="1" si="85"/>
        <v>13176.388000000001</v>
      </c>
      <c r="N170" s="59">
        <f t="shared" ca="1" si="85"/>
        <v>15941.107999999995</v>
      </c>
      <c r="O170" s="59">
        <f t="shared" ca="1" si="85"/>
        <v>18999.11066666666</v>
      </c>
      <c r="P170" s="59">
        <f t="shared" ca="1" si="85"/>
        <v>19475.482666666656</v>
      </c>
      <c r="Q170" s="59">
        <f t="shared" ca="1" si="85"/>
        <v>21544.266666666656</v>
      </c>
      <c r="R170" s="59">
        <f t="shared" ca="1" si="85"/>
        <v>24840.019999999993</v>
      </c>
      <c r="S170" s="59">
        <f t="shared" ca="1" si="85"/>
        <v>27958.126666666656</v>
      </c>
      <c r="T170" s="59">
        <f t="shared" ca="1" si="85"/>
        <v>31229.374666666659</v>
      </c>
      <c r="U170" s="59">
        <f t="shared" ca="1" si="85"/>
        <v>34706.80799999999</v>
      </c>
      <c r="V170" s="59">
        <f t="shared" ca="1" si="85"/>
        <v>38650.625333333315</v>
      </c>
      <c r="W170" s="59">
        <f t="shared" ca="1" si="85"/>
        <v>42586.395999999979</v>
      </c>
      <c r="X170" s="59">
        <f t="shared" ca="1" si="85"/>
        <v>46177.765333333307</v>
      </c>
      <c r="Y170" s="59">
        <f t="shared" ca="1" si="85"/>
        <v>51093.11066666666</v>
      </c>
      <c r="Z170" s="59">
        <f t="shared" ca="1" si="85"/>
        <v>56389.513333333321</v>
      </c>
      <c r="AA170" s="59">
        <f t="shared" ca="1" si="85"/>
        <v>61747.842666666642</v>
      </c>
      <c r="AB170" s="59">
        <f t="shared" ca="1" si="85"/>
        <v>68005.031999999948</v>
      </c>
      <c r="AC170" s="59">
        <f t="shared" ca="1" si="85"/>
        <v>77779.785333333275</v>
      </c>
      <c r="AD170" s="59">
        <f t="shared" ca="1" si="85"/>
        <v>87184.72799999993</v>
      </c>
      <c r="AE170" s="59">
        <f t="shared" ca="1" si="85"/>
        <v>98465.429333333261</v>
      </c>
      <c r="AF170" s="59">
        <f t="shared" ca="1" si="85"/>
        <v>113960.9786666666</v>
      </c>
      <c r="AG170" s="59">
        <f t="shared" ca="1" si="85"/>
        <v>111186.39466666659</v>
      </c>
      <c r="AH170" s="59">
        <f t="shared" ca="1" si="85"/>
        <v>117515.13999999993</v>
      </c>
      <c r="AI170" s="59">
        <f t="shared" ca="1" si="85"/>
        <v>125180.24666666656</v>
      </c>
      <c r="AJ170" s="59">
        <f t="shared" ca="1" si="85"/>
        <v>132627.71999999991</v>
      </c>
      <c r="AK170" s="59">
        <f t="shared" ca="1" si="85"/>
        <v>141187.2733333332</v>
      </c>
      <c r="AL170" s="59">
        <f t="shared" ca="1" si="85"/>
        <v>151357.42666666652</v>
      </c>
      <c r="AM170" s="59">
        <f t="shared" ca="1" si="85"/>
        <v>160644.05333333311</v>
      </c>
      <c r="AN170" s="59">
        <f t="shared" ca="1" si="85"/>
        <v>170445.62666666647</v>
      </c>
      <c r="AO170" s="59">
        <f t="shared" ca="1" si="85"/>
        <v>182632.99999999985</v>
      </c>
      <c r="AP170" s="59">
        <f t="shared" ca="1" si="85"/>
        <v>194216.42666666646</v>
      </c>
      <c r="AQ170" s="59">
        <f t="shared" ca="1" si="85"/>
        <v>207501.57999999984</v>
      </c>
      <c r="AR170" s="59">
        <f t="shared" ca="1" si="85"/>
        <v>221605.16666666654</v>
      </c>
      <c r="AS170" s="59">
        <f t="shared" ca="1" si="85"/>
        <v>235027.31999999989</v>
      </c>
      <c r="AT170" s="59">
        <f t="shared" ca="1" si="85"/>
        <v>248792.71999999986</v>
      </c>
      <c r="AU170" s="59">
        <f t="shared" ca="1" si="85"/>
        <v>263836.71999999986</v>
      </c>
      <c r="AV170" s="59">
        <f t="shared" ca="1" si="85"/>
        <v>280370.39999999979</v>
      </c>
      <c r="AW170" s="59">
        <f t="shared" ca="1" si="85"/>
        <v>298540.47999999975</v>
      </c>
      <c r="AX170" s="59">
        <f t="shared" ca="1" si="85"/>
        <v>318509.35999999969</v>
      </c>
      <c r="AY170" s="59">
        <f t="shared" ca="1" si="85"/>
        <v>340455.43999999959</v>
      </c>
      <c r="AZ170" s="59">
        <f t="shared" ca="1" si="85"/>
        <v>364573.83999999956</v>
      </c>
      <c r="BA170" s="59">
        <f t="shared" ca="1" si="85"/>
        <v>391080.07999999967</v>
      </c>
      <c r="BB170" s="59">
        <f t="shared" ca="1" si="85"/>
        <v>420210.47999999952</v>
      </c>
      <c r="BC170" s="59">
        <f t="shared" ca="1" si="85"/>
        <v>452225.03999999957</v>
      </c>
      <c r="BD170" s="59">
        <f t="shared" ca="1" si="85"/>
        <v>487408.47999999963</v>
      </c>
      <c r="BE170" s="59">
        <f t="shared" ca="1" si="85"/>
        <v>604734.85599999968</v>
      </c>
      <c r="BF170" s="59">
        <f t="shared" ca="1" si="85"/>
        <v>663687.90399999963</v>
      </c>
      <c r="BG170" s="59">
        <f t="shared" ca="1" si="85"/>
        <v>719730.11199999962</v>
      </c>
      <c r="BH170" s="59">
        <f t="shared" ca="1" si="85"/>
        <v>781320.63999999943</v>
      </c>
      <c r="BI170" s="59">
        <f t="shared" ca="1" si="85"/>
        <v>849008.41599999939</v>
      </c>
      <c r="BJ170" s="59">
        <f t="shared" ca="1" si="85"/>
        <v>923397.47199999937</v>
      </c>
      <c r="BK170" s="59">
        <f t="shared" ca="1" si="85"/>
        <v>1005150.9759999993</v>
      </c>
      <c r="BL170" s="59">
        <f t="shared" ca="1" si="85"/>
        <v>1094998.5279999992</v>
      </c>
      <c r="BM170" s="59">
        <f t="shared" ca="1" si="85"/>
        <v>1193740.3839999994</v>
      </c>
      <c r="BN170" s="59">
        <f t="shared" ca="1" si="85"/>
        <v>1302257.3439999989</v>
      </c>
      <c r="BO170" s="59">
        <f t="shared" ca="1" si="85"/>
        <v>1421517.855999999</v>
      </c>
      <c r="BP170" s="59">
        <f t="shared" ca="1" si="85"/>
        <v>1552585.5999999994</v>
      </c>
    </row>
    <row r="172" spans="4:68" x14ac:dyDescent="0.2">
      <c r="D172" s="1" t="s">
        <v>139</v>
      </c>
    </row>
    <row r="173" spans="4:68" x14ac:dyDescent="0.2">
      <c r="E173" s="1" t="s">
        <v>149</v>
      </c>
      <c r="I173" s="55">
        <f>H176</f>
        <v>0</v>
      </c>
      <c r="J173" s="55">
        <f ca="1">I176</f>
        <v>0</v>
      </c>
      <c r="K173" s="55">
        <f t="shared" ref="K173:BP173" ca="1" si="86">J176</f>
        <v>0</v>
      </c>
      <c r="L173" s="55">
        <f t="shared" ca="1" si="86"/>
        <v>0</v>
      </c>
      <c r="M173" s="55">
        <f t="shared" ca="1" si="86"/>
        <v>0</v>
      </c>
      <c r="N173" s="55">
        <f t="shared" ca="1" si="86"/>
        <v>0</v>
      </c>
      <c r="O173" s="55">
        <f t="shared" ca="1" si="86"/>
        <v>0</v>
      </c>
      <c r="P173" s="55">
        <f t="shared" ca="1" si="86"/>
        <v>0</v>
      </c>
      <c r="Q173" s="55">
        <f t="shared" ca="1" si="86"/>
        <v>0</v>
      </c>
      <c r="R173" s="55">
        <f t="shared" ca="1" si="86"/>
        <v>0</v>
      </c>
      <c r="S173" s="55">
        <f t="shared" ca="1" si="86"/>
        <v>0</v>
      </c>
      <c r="T173" s="55">
        <f t="shared" ca="1" si="86"/>
        <v>0</v>
      </c>
      <c r="U173" s="55">
        <f t="shared" ca="1" si="86"/>
        <v>0</v>
      </c>
      <c r="V173" s="55">
        <f t="shared" ca="1" si="86"/>
        <v>0</v>
      </c>
      <c r="W173" s="55">
        <f t="shared" ca="1" si="86"/>
        <v>0</v>
      </c>
      <c r="X173" s="55">
        <f t="shared" ca="1" si="86"/>
        <v>0</v>
      </c>
      <c r="Y173" s="55">
        <f t="shared" ca="1" si="86"/>
        <v>0</v>
      </c>
      <c r="Z173" s="55">
        <f t="shared" ca="1" si="86"/>
        <v>0</v>
      </c>
      <c r="AA173" s="55">
        <f t="shared" ca="1" si="86"/>
        <v>0</v>
      </c>
      <c r="AB173" s="55">
        <f t="shared" ca="1" si="86"/>
        <v>0</v>
      </c>
      <c r="AC173" s="55">
        <f t="shared" ca="1" si="86"/>
        <v>0</v>
      </c>
      <c r="AD173" s="55">
        <f t="shared" ca="1" si="86"/>
        <v>0</v>
      </c>
      <c r="AE173" s="55">
        <f t="shared" ca="1" si="86"/>
        <v>0</v>
      </c>
      <c r="AF173" s="55">
        <f t="shared" ca="1" si="86"/>
        <v>0</v>
      </c>
      <c r="AG173" s="55">
        <f t="shared" ca="1" si="86"/>
        <v>0</v>
      </c>
      <c r="AH173" s="55">
        <f t="shared" ca="1" si="86"/>
        <v>0</v>
      </c>
      <c r="AI173" s="55">
        <f t="shared" ca="1" si="86"/>
        <v>0</v>
      </c>
      <c r="AJ173" s="55">
        <f t="shared" ca="1" si="86"/>
        <v>0</v>
      </c>
      <c r="AK173" s="55">
        <f t="shared" ca="1" si="86"/>
        <v>0</v>
      </c>
      <c r="AL173" s="55">
        <f t="shared" ca="1" si="86"/>
        <v>67019.342700233537</v>
      </c>
      <c r="AM173" s="55">
        <f t="shared" ca="1" si="86"/>
        <v>369750.53768576728</v>
      </c>
      <c r="AN173" s="55">
        <f t="shared" ca="1" si="86"/>
        <v>422760.9852901125</v>
      </c>
      <c r="AO173" s="55">
        <f t="shared" ca="1" si="86"/>
        <v>481402.38785515225</v>
      </c>
      <c r="AP173" s="55">
        <f t="shared" ca="1" si="86"/>
        <v>541455.83445167728</v>
      </c>
      <c r="AQ173" s="55">
        <f t="shared" ca="1" si="86"/>
        <v>613559.64146740863</v>
      </c>
      <c r="AR173" s="55">
        <f t="shared" ca="1" si="86"/>
        <v>690310.33917260461</v>
      </c>
      <c r="AS173" s="55">
        <f t="shared" ca="1" si="86"/>
        <v>776622.79310293484</v>
      </c>
      <c r="AT173" s="55">
        <f t="shared" ca="1" si="86"/>
        <v>880300.34622853715</v>
      </c>
      <c r="AU173" s="55">
        <f t="shared" ca="1" si="86"/>
        <v>994571.72208638594</v>
      </c>
      <c r="AV173" s="55">
        <f t="shared" ca="1" si="86"/>
        <v>1120205.96891573</v>
      </c>
      <c r="AW173" s="55">
        <f t="shared" ca="1" si="86"/>
        <v>1258314.8035971862</v>
      </c>
      <c r="AX173" s="55">
        <f t="shared" ca="1" si="86"/>
        <v>1410140.5478376204</v>
      </c>
      <c r="AY173" s="55">
        <f t="shared" ca="1" si="86"/>
        <v>1577044.7785996441</v>
      </c>
      <c r="AZ173" s="55">
        <f t="shared" ca="1" si="86"/>
        <v>1760497.7904477434</v>
      </c>
      <c r="BA173" s="55">
        <f t="shared" ca="1" si="86"/>
        <v>1962159.6177121745</v>
      </c>
      <c r="BB173" s="55">
        <f t="shared" ca="1" si="86"/>
        <v>2183912.8780694315</v>
      </c>
      <c r="BC173" s="55">
        <f t="shared" ca="1" si="86"/>
        <v>2427588.0612102295</v>
      </c>
      <c r="BD173" s="55">
        <f t="shared" ca="1" si="86"/>
        <v>2695440.0028853249</v>
      </c>
      <c r="BE173" s="55">
        <f t="shared" ca="1" si="86"/>
        <v>2989904.7886011153</v>
      </c>
      <c r="BF173" s="55">
        <f t="shared" ca="1" si="86"/>
        <v>4018825.1167840101</v>
      </c>
      <c r="BG173" s="55">
        <f t="shared" ca="1" si="86"/>
        <v>4445474.5181711055</v>
      </c>
      <c r="BH173" s="55">
        <f t="shared" ca="1" si="86"/>
        <v>4914429.8450316461</v>
      </c>
      <c r="BI173" s="55">
        <f t="shared" ca="1" si="86"/>
        <v>5430071.7346823383</v>
      </c>
      <c r="BJ173" s="55">
        <f t="shared" ca="1" si="86"/>
        <v>5996957.8524787035</v>
      </c>
      <c r="BK173" s="55">
        <f t="shared" ca="1" si="86"/>
        <v>6620044.7586788842</v>
      </c>
      <c r="BL173" s="55">
        <f t="shared" ca="1" si="86"/>
        <v>7304816.1302351505</v>
      </c>
      <c r="BM173" s="55">
        <f t="shared" ca="1" si="86"/>
        <v>8057438.8293397706</v>
      </c>
      <c r="BN173" s="55">
        <f t="shared" ca="1" si="86"/>
        <v>8884670.1929431967</v>
      </c>
      <c r="BO173" s="55">
        <f t="shared" ca="1" si="86"/>
        <v>9793795.1352373641</v>
      </c>
      <c r="BP173" s="55">
        <f t="shared" ca="1" si="86"/>
        <v>10793007.256331395</v>
      </c>
    </row>
    <row r="174" spans="4:68" x14ac:dyDescent="0.2">
      <c r="F174" s="1" t="s">
        <v>161</v>
      </c>
      <c r="I174" s="55">
        <f ca="1">I90</f>
        <v>0</v>
      </c>
      <c r="J174" s="55">
        <f ca="1">J90</f>
        <v>0</v>
      </c>
      <c r="K174" s="55">
        <f t="shared" ref="K174:BP174" ca="1" si="87">K90</f>
        <v>0</v>
      </c>
      <c r="L174" s="55">
        <f t="shared" ca="1" si="87"/>
        <v>0</v>
      </c>
      <c r="M174" s="55">
        <f t="shared" ca="1" si="87"/>
        <v>0</v>
      </c>
      <c r="N174" s="55">
        <f t="shared" ca="1" si="87"/>
        <v>0</v>
      </c>
      <c r="O174" s="55">
        <f t="shared" ca="1" si="87"/>
        <v>0</v>
      </c>
      <c r="P174" s="55">
        <f t="shared" ca="1" si="87"/>
        <v>0</v>
      </c>
      <c r="Q174" s="55">
        <f t="shared" ca="1" si="87"/>
        <v>0</v>
      </c>
      <c r="R174" s="55">
        <f t="shared" ca="1" si="87"/>
        <v>0</v>
      </c>
      <c r="S174" s="55">
        <f t="shared" ca="1" si="87"/>
        <v>0</v>
      </c>
      <c r="T174" s="55">
        <f t="shared" ca="1" si="87"/>
        <v>0</v>
      </c>
      <c r="U174" s="55">
        <f t="shared" ca="1" si="87"/>
        <v>0</v>
      </c>
      <c r="V174" s="55">
        <f t="shared" ca="1" si="87"/>
        <v>0</v>
      </c>
      <c r="W174" s="55">
        <f t="shared" ca="1" si="87"/>
        <v>0</v>
      </c>
      <c r="X174" s="55">
        <f t="shared" ca="1" si="87"/>
        <v>0</v>
      </c>
      <c r="Y174" s="55">
        <f t="shared" ca="1" si="87"/>
        <v>0</v>
      </c>
      <c r="Z174" s="55">
        <f t="shared" ca="1" si="87"/>
        <v>0</v>
      </c>
      <c r="AA174" s="55">
        <f t="shared" ca="1" si="87"/>
        <v>0</v>
      </c>
      <c r="AB174" s="55">
        <f t="shared" ca="1" si="87"/>
        <v>0</v>
      </c>
      <c r="AC174" s="55">
        <f t="shared" ca="1" si="87"/>
        <v>0</v>
      </c>
      <c r="AD174" s="55">
        <f t="shared" ca="1" si="87"/>
        <v>0</v>
      </c>
      <c r="AE174" s="55">
        <f t="shared" ca="1" si="87"/>
        <v>0</v>
      </c>
      <c r="AF174" s="55">
        <f t="shared" ca="1" si="87"/>
        <v>0</v>
      </c>
      <c r="AG174" s="55">
        <f t="shared" ca="1" si="87"/>
        <v>0</v>
      </c>
      <c r="AH174" s="55">
        <f t="shared" ca="1" si="87"/>
        <v>0</v>
      </c>
      <c r="AI174" s="55">
        <f t="shared" ca="1" si="87"/>
        <v>0</v>
      </c>
      <c r="AJ174" s="55">
        <f t="shared" ca="1" si="87"/>
        <v>0</v>
      </c>
      <c r="AK174" s="55">
        <f t="shared" ca="1" si="87"/>
        <v>67019.342700233537</v>
      </c>
      <c r="AL174" s="55">
        <f t="shared" ca="1" si="87"/>
        <v>369750.53768576734</v>
      </c>
      <c r="AM174" s="55">
        <f t="shared" ca="1" si="87"/>
        <v>422760.98529011256</v>
      </c>
      <c r="AN174" s="55">
        <f t="shared" ca="1" si="87"/>
        <v>481402.38785515237</v>
      </c>
      <c r="AO174" s="55">
        <f t="shared" ca="1" si="87"/>
        <v>541455.83445167739</v>
      </c>
      <c r="AP174" s="55">
        <f t="shared" ca="1" si="87"/>
        <v>613559.64146740863</v>
      </c>
      <c r="AQ174" s="55">
        <f t="shared" ca="1" si="87"/>
        <v>690310.33917260461</v>
      </c>
      <c r="AR174" s="55">
        <f t="shared" ca="1" si="87"/>
        <v>776622.79310293496</v>
      </c>
      <c r="AS174" s="55">
        <f t="shared" ca="1" si="87"/>
        <v>880300.34622853727</v>
      </c>
      <c r="AT174" s="55">
        <f t="shared" ca="1" si="87"/>
        <v>994571.72208638606</v>
      </c>
      <c r="AU174" s="55">
        <f t="shared" ca="1" si="87"/>
        <v>1120205.9689157302</v>
      </c>
      <c r="AV174" s="55">
        <f t="shared" ca="1" si="87"/>
        <v>1258314.8035971865</v>
      </c>
      <c r="AW174" s="55">
        <f t="shared" ca="1" si="87"/>
        <v>1410140.5478376206</v>
      </c>
      <c r="AX174" s="55">
        <f t="shared" ca="1" si="87"/>
        <v>1577044.7785996443</v>
      </c>
      <c r="AY174" s="55">
        <f t="shared" ca="1" si="87"/>
        <v>1760497.7904477436</v>
      </c>
      <c r="AZ174" s="55">
        <f t="shared" ca="1" si="87"/>
        <v>1962159.6177121748</v>
      </c>
      <c r="BA174" s="55">
        <f t="shared" ca="1" si="87"/>
        <v>2183912.878069432</v>
      </c>
      <c r="BB174" s="55">
        <f t="shared" ca="1" si="87"/>
        <v>2427588.06121023</v>
      </c>
      <c r="BC174" s="55">
        <f t="shared" ca="1" si="87"/>
        <v>2695440.0028853249</v>
      </c>
      <c r="BD174" s="55">
        <f t="shared" ca="1" si="87"/>
        <v>2989904.7886011153</v>
      </c>
      <c r="BE174" s="55">
        <f t="shared" ca="1" si="87"/>
        <v>4018825.1167840096</v>
      </c>
      <c r="BF174" s="55">
        <f t="shared" ca="1" si="87"/>
        <v>4445474.5181711065</v>
      </c>
      <c r="BG174" s="55">
        <f t="shared" ca="1" si="87"/>
        <v>4914429.845031647</v>
      </c>
      <c r="BH174" s="55">
        <f t="shared" ca="1" si="87"/>
        <v>5430071.7346823383</v>
      </c>
      <c r="BI174" s="55">
        <f t="shared" ca="1" si="87"/>
        <v>5996957.8524787026</v>
      </c>
      <c r="BJ174" s="55">
        <f t="shared" ca="1" si="87"/>
        <v>6620044.7586788833</v>
      </c>
      <c r="BK174" s="55">
        <f t="shared" ca="1" si="87"/>
        <v>7304816.1302351486</v>
      </c>
      <c r="BL174" s="55">
        <f t="shared" ca="1" si="87"/>
        <v>8057438.8293397687</v>
      </c>
      <c r="BM174" s="55">
        <f t="shared" ca="1" si="87"/>
        <v>8884670.1929431949</v>
      </c>
      <c r="BN174" s="55">
        <f t="shared" ca="1" si="87"/>
        <v>9793795.1352373622</v>
      </c>
      <c r="BO174" s="55">
        <f t="shared" ca="1" si="87"/>
        <v>10793007.256331393</v>
      </c>
      <c r="BP174" s="55">
        <f t="shared" ca="1" si="87"/>
        <v>11891197.801682213</v>
      </c>
    </row>
    <row r="175" spans="4:68" x14ac:dyDescent="0.2">
      <c r="F175" s="1" t="s">
        <v>164</v>
      </c>
      <c r="I175" s="55"/>
      <c r="J175" s="55">
        <f ca="1">-I174</f>
        <v>0</v>
      </c>
      <c r="K175" s="55">
        <f t="shared" ref="K175:BP175" ca="1" si="88">-J174</f>
        <v>0</v>
      </c>
      <c r="L175" s="55">
        <f t="shared" ca="1" si="88"/>
        <v>0</v>
      </c>
      <c r="M175" s="55">
        <f t="shared" ca="1" si="88"/>
        <v>0</v>
      </c>
      <c r="N175" s="55">
        <f t="shared" ca="1" si="88"/>
        <v>0</v>
      </c>
      <c r="O175" s="55">
        <f t="shared" ca="1" si="88"/>
        <v>0</v>
      </c>
      <c r="P175" s="55">
        <f t="shared" ca="1" si="88"/>
        <v>0</v>
      </c>
      <c r="Q175" s="55">
        <f t="shared" ca="1" si="88"/>
        <v>0</v>
      </c>
      <c r="R175" s="55">
        <f t="shared" ca="1" si="88"/>
        <v>0</v>
      </c>
      <c r="S175" s="55">
        <f t="shared" ca="1" si="88"/>
        <v>0</v>
      </c>
      <c r="T175" s="55">
        <f t="shared" ca="1" si="88"/>
        <v>0</v>
      </c>
      <c r="U175" s="55">
        <f t="shared" ca="1" si="88"/>
        <v>0</v>
      </c>
      <c r="V175" s="55">
        <f t="shared" ca="1" si="88"/>
        <v>0</v>
      </c>
      <c r="W175" s="55">
        <f t="shared" ca="1" si="88"/>
        <v>0</v>
      </c>
      <c r="X175" s="55">
        <f t="shared" ca="1" si="88"/>
        <v>0</v>
      </c>
      <c r="Y175" s="55">
        <f t="shared" ca="1" si="88"/>
        <v>0</v>
      </c>
      <c r="Z175" s="55">
        <f t="shared" ca="1" si="88"/>
        <v>0</v>
      </c>
      <c r="AA175" s="55">
        <f t="shared" ca="1" si="88"/>
        <v>0</v>
      </c>
      <c r="AB175" s="55">
        <f t="shared" ca="1" si="88"/>
        <v>0</v>
      </c>
      <c r="AC175" s="55">
        <f t="shared" ca="1" si="88"/>
        <v>0</v>
      </c>
      <c r="AD175" s="55">
        <f t="shared" ca="1" si="88"/>
        <v>0</v>
      </c>
      <c r="AE175" s="55">
        <f t="shared" ca="1" si="88"/>
        <v>0</v>
      </c>
      <c r="AF175" s="55">
        <f t="shared" ca="1" si="88"/>
        <v>0</v>
      </c>
      <c r="AG175" s="55">
        <f t="shared" ca="1" si="88"/>
        <v>0</v>
      </c>
      <c r="AH175" s="55">
        <f t="shared" ca="1" si="88"/>
        <v>0</v>
      </c>
      <c r="AI175" s="55">
        <f t="shared" ca="1" si="88"/>
        <v>0</v>
      </c>
      <c r="AJ175" s="55">
        <f t="shared" ca="1" si="88"/>
        <v>0</v>
      </c>
      <c r="AK175" s="55">
        <f t="shared" ca="1" si="88"/>
        <v>0</v>
      </c>
      <c r="AL175" s="55">
        <f t="shared" ca="1" si="88"/>
        <v>-67019.342700233537</v>
      </c>
      <c r="AM175" s="55">
        <f t="shared" ca="1" si="88"/>
        <v>-369750.53768576734</v>
      </c>
      <c r="AN175" s="55">
        <f t="shared" ca="1" si="88"/>
        <v>-422760.98529011256</v>
      </c>
      <c r="AO175" s="55">
        <f t="shared" ca="1" si="88"/>
        <v>-481402.38785515237</v>
      </c>
      <c r="AP175" s="55">
        <f t="shared" ca="1" si="88"/>
        <v>-541455.83445167739</v>
      </c>
      <c r="AQ175" s="55">
        <f t="shared" ca="1" si="88"/>
        <v>-613559.64146740863</v>
      </c>
      <c r="AR175" s="55">
        <f t="shared" ca="1" si="88"/>
        <v>-690310.33917260461</v>
      </c>
      <c r="AS175" s="55">
        <f t="shared" ca="1" si="88"/>
        <v>-776622.79310293496</v>
      </c>
      <c r="AT175" s="55">
        <f t="shared" ca="1" si="88"/>
        <v>-880300.34622853727</v>
      </c>
      <c r="AU175" s="55">
        <f t="shared" ca="1" si="88"/>
        <v>-994571.72208638606</v>
      </c>
      <c r="AV175" s="55">
        <f t="shared" ca="1" si="88"/>
        <v>-1120205.9689157302</v>
      </c>
      <c r="AW175" s="55">
        <f t="shared" ca="1" si="88"/>
        <v>-1258314.8035971865</v>
      </c>
      <c r="AX175" s="55">
        <f t="shared" ca="1" si="88"/>
        <v>-1410140.5478376206</v>
      </c>
      <c r="AY175" s="55">
        <f t="shared" ca="1" si="88"/>
        <v>-1577044.7785996443</v>
      </c>
      <c r="AZ175" s="55">
        <f t="shared" ca="1" si="88"/>
        <v>-1760497.7904477436</v>
      </c>
      <c r="BA175" s="55">
        <f t="shared" ca="1" si="88"/>
        <v>-1962159.6177121748</v>
      </c>
      <c r="BB175" s="55">
        <f t="shared" ca="1" si="88"/>
        <v>-2183912.878069432</v>
      </c>
      <c r="BC175" s="55">
        <f t="shared" ca="1" si="88"/>
        <v>-2427588.06121023</v>
      </c>
      <c r="BD175" s="55">
        <f t="shared" ca="1" si="88"/>
        <v>-2695440.0028853249</v>
      </c>
      <c r="BE175" s="55">
        <f t="shared" ca="1" si="88"/>
        <v>-2989904.7886011153</v>
      </c>
      <c r="BF175" s="55">
        <f t="shared" ca="1" si="88"/>
        <v>-4018825.1167840096</v>
      </c>
      <c r="BG175" s="55">
        <f t="shared" ca="1" si="88"/>
        <v>-4445474.5181711065</v>
      </c>
      <c r="BH175" s="55">
        <f t="shared" ca="1" si="88"/>
        <v>-4914429.845031647</v>
      </c>
      <c r="BI175" s="55">
        <f t="shared" ca="1" si="88"/>
        <v>-5430071.7346823383</v>
      </c>
      <c r="BJ175" s="55">
        <f t="shared" ca="1" si="88"/>
        <v>-5996957.8524787026</v>
      </c>
      <c r="BK175" s="55">
        <f t="shared" ca="1" si="88"/>
        <v>-6620044.7586788833</v>
      </c>
      <c r="BL175" s="55">
        <f t="shared" ca="1" si="88"/>
        <v>-7304816.1302351486</v>
      </c>
      <c r="BM175" s="55">
        <f t="shared" ca="1" si="88"/>
        <v>-8057438.8293397687</v>
      </c>
      <c r="BN175" s="55">
        <f t="shared" ca="1" si="88"/>
        <v>-8884670.1929431949</v>
      </c>
      <c r="BO175" s="55">
        <f t="shared" ca="1" si="88"/>
        <v>-9793795.1352373622</v>
      </c>
      <c r="BP175" s="55">
        <f t="shared" ca="1" si="88"/>
        <v>-10793007.256331393</v>
      </c>
    </row>
    <row r="176" spans="4:68" x14ac:dyDescent="0.2">
      <c r="E176" s="1" t="s">
        <v>165</v>
      </c>
      <c r="I176" s="55">
        <f ca="1">SUM(I173:I175)</f>
        <v>0</v>
      </c>
      <c r="J176" s="55">
        <f ca="1">SUM(J173:J175)</f>
        <v>0</v>
      </c>
      <c r="K176" s="55">
        <f t="shared" ref="K176:BP176" ca="1" si="89">SUM(K173:K175)</f>
        <v>0</v>
      </c>
      <c r="L176" s="55">
        <f t="shared" ca="1" si="89"/>
        <v>0</v>
      </c>
      <c r="M176" s="55">
        <f t="shared" ca="1" si="89"/>
        <v>0</v>
      </c>
      <c r="N176" s="55">
        <f t="shared" ca="1" si="89"/>
        <v>0</v>
      </c>
      <c r="O176" s="55">
        <f t="shared" ca="1" si="89"/>
        <v>0</v>
      </c>
      <c r="P176" s="55">
        <f t="shared" ca="1" si="89"/>
        <v>0</v>
      </c>
      <c r="Q176" s="55">
        <f t="shared" ca="1" si="89"/>
        <v>0</v>
      </c>
      <c r="R176" s="55">
        <f t="shared" ca="1" si="89"/>
        <v>0</v>
      </c>
      <c r="S176" s="55">
        <f t="shared" ca="1" si="89"/>
        <v>0</v>
      </c>
      <c r="T176" s="55">
        <f t="shared" ca="1" si="89"/>
        <v>0</v>
      </c>
      <c r="U176" s="55">
        <f t="shared" ca="1" si="89"/>
        <v>0</v>
      </c>
      <c r="V176" s="55">
        <f t="shared" ca="1" si="89"/>
        <v>0</v>
      </c>
      <c r="W176" s="55">
        <f t="shared" ca="1" si="89"/>
        <v>0</v>
      </c>
      <c r="X176" s="55">
        <f t="shared" ca="1" si="89"/>
        <v>0</v>
      </c>
      <c r="Y176" s="55">
        <f t="shared" ca="1" si="89"/>
        <v>0</v>
      </c>
      <c r="Z176" s="55">
        <f t="shared" ca="1" si="89"/>
        <v>0</v>
      </c>
      <c r="AA176" s="55">
        <f t="shared" ca="1" si="89"/>
        <v>0</v>
      </c>
      <c r="AB176" s="55">
        <f t="shared" ca="1" si="89"/>
        <v>0</v>
      </c>
      <c r="AC176" s="55">
        <f t="shared" ca="1" si="89"/>
        <v>0</v>
      </c>
      <c r="AD176" s="55">
        <f t="shared" ca="1" si="89"/>
        <v>0</v>
      </c>
      <c r="AE176" s="55">
        <f t="shared" ca="1" si="89"/>
        <v>0</v>
      </c>
      <c r="AF176" s="55">
        <f t="shared" ca="1" si="89"/>
        <v>0</v>
      </c>
      <c r="AG176" s="55">
        <f t="shared" ca="1" si="89"/>
        <v>0</v>
      </c>
      <c r="AH176" s="55">
        <f t="shared" ca="1" si="89"/>
        <v>0</v>
      </c>
      <c r="AI176" s="55">
        <f t="shared" ca="1" si="89"/>
        <v>0</v>
      </c>
      <c r="AJ176" s="55">
        <f t="shared" ca="1" si="89"/>
        <v>0</v>
      </c>
      <c r="AK176" s="55">
        <f t="shared" ca="1" si="89"/>
        <v>67019.342700233537</v>
      </c>
      <c r="AL176" s="55">
        <f t="shared" ca="1" si="89"/>
        <v>369750.53768576728</v>
      </c>
      <c r="AM176" s="55">
        <f t="shared" ca="1" si="89"/>
        <v>422760.9852901125</v>
      </c>
      <c r="AN176" s="55">
        <f t="shared" ca="1" si="89"/>
        <v>481402.38785515225</v>
      </c>
      <c r="AO176" s="55">
        <f t="shared" ca="1" si="89"/>
        <v>541455.83445167728</v>
      </c>
      <c r="AP176" s="55">
        <f t="shared" ca="1" si="89"/>
        <v>613559.64146740863</v>
      </c>
      <c r="AQ176" s="55">
        <f t="shared" ca="1" si="89"/>
        <v>690310.33917260461</v>
      </c>
      <c r="AR176" s="55">
        <f t="shared" ca="1" si="89"/>
        <v>776622.79310293484</v>
      </c>
      <c r="AS176" s="55">
        <f t="shared" ca="1" si="89"/>
        <v>880300.34622853715</v>
      </c>
      <c r="AT176" s="55">
        <f t="shared" ca="1" si="89"/>
        <v>994571.72208638594</v>
      </c>
      <c r="AU176" s="55">
        <f t="shared" ca="1" si="89"/>
        <v>1120205.96891573</v>
      </c>
      <c r="AV176" s="55">
        <f t="shared" ca="1" si="89"/>
        <v>1258314.8035971862</v>
      </c>
      <c r="AW176" s="55">
        <f t="shared" ca="1" si="89"/>
        <v>1410140.5478376204</v>
      </c>
      <c r="AX176" s="55">
        <f t="shared" ca="1" si="89"/>
        <v>1577044.7785996441</v>
      </c>
      <c r="AY176" s="55">
        <f t="shared" ca="1" si="89"/>
        <v>1760497.7904477434</v>
      </c>
      <c r="AZ176" s="55">
        <f t="shared" ca="1" si="89"/>
        <v>1962159.6177121745</v>
      </c>
      <c r="BA176" s="55">
        <f t="shared" ca="1" si="89"/>
        <v>2183912.8780694315</v>
      </c>
      <c r="BB176" s="55">
        <f t="shared" ca="1" si="89"/>
        <v>2427588.0612102295</v>
      </c>
      <c r="BC176" s="55">
        <f t="shared" ca="1" si="89"/>
        <v>2695440.0028853249</v>
      </c>
      <c r="BD176" s="55">
        <f t="shared" ca="1" si="89"/>
        <v>2989904.7886011153</v>
      </c>
      <c r="BE176" s="55">
        <f t="shared" ca="1" si="89"/>
        <v>4018825.1167840101</v>
      </c>
      <c r="BF176" s="55">
        <f t="shared" ca="1" si="89"/>
        <v>4445474.5181711055</v>
      </c>
      <c r="BG176" s="55">
        <f t="shared" ca="1" si="89"/>
        <v>4914429.8450316461</v>
      </c>
      <c r="BH176" s="55">
        <f t="shared" ca="1" si="89"/>
        <v>5430071.7346823383</v>
      </c>
      <c r="BI176" s="55">
        <f t="shared" ca="1" si="89"/>
        <v>5996957.8524787035</v>
      </c>
      <c r="BJ176" s="55">
        <f t="shared" ca="1" si="89"/>
        <v>6620044.7586788842</v>
      </c>
      <c r="BK176" s="55">
        <f t="shared" ca="1" si="89"/>
        <v>7304816.1302351505</v>
      </c>
      <c r="BL176" s="55">
        <f t="shared" ca="1" si="89"/>
        <v>8057438.8293397706</v>
      </c>
      <c r="BM176" s="55">
        <f t="shared" ca="1" si="89"/>
        <v>8884670.1929431967</v>
      </c>
      <c r="BN176" s="55">
        <f t="shared" ca="1" si="89"/>
        <v>9793795.1352373641</v>
      </c>
      <c r="BO176" s="55">
        <f t="shared" ca="1" si="89"/>
        <v>10793007.256331395</v>
      </c>
      <c r="BP176" s="55">
        <f t="shared" ca="1" si="89"/>
        <v>11891197.801682217</v>
      </c>
    </row>
    <row r="178" spans="4:68" x14ac:dyDescent="0.2">
      <c r="D178" s="1" t="s">
        <v>142</v>
      </c>
    </row>
    <row r="179" spans="4:68" x14ac:dyDescent="0.2">
      <c r="E179" s="1" t="s">
        <v>149</v>
      </c>
      <c r="I179" s="55">
        <f>H184</f>
        <v>0</v>
      </c>
      <c r="J179" s="55">
        <f t="shared" ref="J179:BP179" ca="1" si="90">I184</f>
        <v>0</v>
      </c>
      <c r="K179" s="55">
        <f t="shared" ca="1" si="90"/>
        <v>0</v>
      </c>
      <c r="L179" s="55">
        <f t="shared" ca="1" si="90"/>
        <v>1000000</v>
      </c>
      <c r="M179" s="55">
        <f t="shared" ca="1" si="90"/>
        <v>974195.76956200122</v>
      </c>
      <c r="N179" s="55">
        <f t="shared" ca="1" si="90"/>
        <v>948284.02149717743</v>
      </c>
      <c r="O179" s="55">
        <f t="shared" ca="1" si="90"/>
        <v>922264.30781541683</v>
      </c>
      <c r="P179" s="55">
        <f t="shared" ca="1" si="90"/>
        <v>896136.17865998228</v>
      </c>
      <c r="Q179" s="55">
        <f t="shared" ca="1" si="90"/>
        <v>869899.18229973339</v>
      </c>
      <c r="R179" s="55">
        <f t="shared" ca="1" si="90"/>
        <v>843552.86512131686</v>
      </c>
      <c r="S179" s="55">
        <f t="shared" ca="1" si="90"/>
        <v>817096.77162132354</v>
      </c>
      <c r="T179" s="55">
        <f t="shared" ca="1" si="90"/>
        <v>790530.44439841353</v>
      </c>
      <c r="U179" s="55">
        <f t="shared" ca="1" si="90"/>
        <v>763853.42414540809</v>
      </c>
      <c r="V179" s="55">
        <f t="shared" ca="1" si="90"/>
        <v>737065.24964134849</v>
      </c>
      <c r="W179" s="55">
        <f t="shared" ca="1" si="90"/>
        <v>710165.45774352201</v>
      </c>
      <c r="X179" s="55">
        <f t="shared" ca="1" si="90"/>
        <v>683153.58337945456</v>
      </c>
      <c r="Y179" s="55">
        <f t="shared" ca="1" si="90"/>
        <v>656029.1595388701</v>
      </c>
      <c r="Z179" s="55">
        <f t="shared" ca="1" si="90"/>
        <v>628791.71726561664</v>
      </c>
      <c r="AA179" s="55">
        <f t="shared" ca="1" si="90"/>
        <v>601440.78564955795</v>
      </c>
      <c r="AB179" s="55">
        <f t="shared" ca="1" si="90"/>
        <v>573975.89181843225</v>
      </c>
      <c r="AC179" s="55">
        <f t="shared" ca="1" si="90"/>
        <v>546396.56092967687</v>
      </c>
      <c r="AD179" s="55">
        <f t="shared" ca="1" si="90"/>
        <v>518702.3161622184</v>
      </c>
      <c r="AE179" s="55">
        <f t="shared" ca="1" si="90"/>
        <v>490892.67870822881</v>
      </c>
      <c r="AF179" s="55">
        <f t="shared" ca="1" si="90"/>
        <v>462967.16776484763</v>
      </c>
      <c r="AG179" s="55">
        <f t="shared" ca="1" si="90"/>
        <v>434925.30052586901</v>
      </c>
      <c r="AH179" s="55">
        <f t="shared" ca="1" si="90"/>
        <v>406766.59217339463</v>
      </c>
      <c r="AI179" s="55">
        <f t="shared" ca="1" si="90"/>
        <v>378490.55586945161</v>
      </c>
      <c r="AJ179" s="55">
        <f t="shared" ca="1" si="90"/>
        <v>350096.70274757553</v>
      </c>
      <c r="AK179" s="55">
        <f t="shared" ca="1" si="90"/>
        <v>321584.54190435831</v>
      </c>
      <c r="AL179" s="55">
        <f t="shared" ca="1" si="90"/>
        <v>292953.58039096097</v>
      </c>
      <c r="AM179" s="55">
        <f t="shared" ca="1" si="90"/>
        <v>264203.32320459117</v>
      </c>
      <c r="AN179" s="55">
        <f t="shared" ca="1" si="90"/>
        <v>235333.27327994481</v>
      </c>
      <c r="AO179" s="55">
        <f t="shared" ca="1" si="90"/>
        <v>206342.93148061243</v>
      </c>
      <c r="AP179" s="55">
        <f t="shared" ca="1" si="90"/>
        <v>177231.79659044952</v>
      </c>
      <c r="AQ179" s="55">
        <f t="shared" ca="1" si="90"/>
        <v>147999.36530491093</v>
      </c>
      <c r="AR179" s="55">
        <f t="shared" ca="1" si="90"/>
        <v>118645.13222234925</v>
      </c>
      <c r="AS179" s="55">
        <f t="shared" ca="1" si="90"/>
        <v>89168.589835276885</v>
      </c>
      <c r="AT179" s="55">
        <f t="shared" ca="1" si="90"/>
        <v>59569.228521591729</v>
      </c>
      <c r="AU179" s="55">
        <f t="shared" ca="1" si="90"/>
        <v>29846.536535766219</v>
      </c>
      <c r="AV179" s="55">
        <f t="shared" ca="1" si="90"/>
        <v>-2.3283064365386963E-10</v>
      </c>
      <c r="AW179" s="55">
        <f t="shared" ca="1" si="90"/>
        <v>-2.3380077133576075E-10</v>
      </c>
      <c r="AX179" s="55">
        <f t="shared" ca="1" si="90"/>
        <v>-2.3477494121632643E-10</v>
      </c>
      <c r="AY179" s="55">
        <f t="shared" ca="1" si="90"/>
        <v>-2.3575317013806114E-10</v>
      </c>
      <c r="AZ179" s="55">
        <f t="shared" ca="1" si="90"/>
        <v>-2.3673547501363639E-10</v>
      </c>
      <c r="BA179" s="55">
        <f t="shared" ca="1" si="90"/>
        <v>-2.3772187282619319E-10</v>
      </c>
      <c r="BB179" s="55">
        <f t="shared" ca="1" si="90"/>
        <v>-2.3871238062963566E-10</v>
      </c>
      <c r="BC179" s="55">
        <f t="shared" ca="1" si="90"/>
        <v>-2.3970701554892582E-10</v>
      </c>
      <c r="BD179" s="55">
        <f t="shared" ca="1" si="90"/>
        <v>-2.4070579478037969E-10</v>
      </c>
      <c r="BE179" s="55">
        <f t="shared" ca="1" si="90"/>
        <v>-2.417087355919646E-10</v>
      </c>
      <c r="BF179" s="55">
        <f t="shared" ca="1" si="90"/>
        <v>-2.4271585532359777E-10</v>
      </c>
      <c r="BG179" s="55">
        <f t="shared" ca="1" si="90"/>
        <v>-2.4372717138744607E-10</v>
      </c>
      <c r="BH179" s="55">
        <f t="shared" ca="1" si="90"/>
        <v>-2.4474270126822712E-10</v>
      </c>
      <c r="BI179" s="55">
        <f t="shared" ca="1" si="90"/>
        <v>-2.4576246252351142E-10</v>
      </c>
      <c r="BJ179" s="55">
        <f t="shared" ca="1" si="90"/>
        <v>-2.4678647278402604E-10</v>
      </c>
      <c r="BK179" s="55">
        <f t="shared" ca="1" si="90"/>
        <v>-2.4781474975395948E-10</v>
      </c>
      <c r="BL179" s="55">
        <f t="shared" ca="1" si="90"/>
        <v>-2.4884731121126765E-10</v>
      </c>
      <c r="BM179" s="55">
        <f t="shared" ca="1" si="90"/>
        <v>-2.4988417500798127E-10</v>
      </c>
      <c r="BN179" s="55">
        <f t="shared" ca="1" si="90"/>
        <v>-2.5092535907051451E-10</v>
      </c>
      <c r="BO179" s="55">
        <f t="shared" ca="1" si="90"/>
        <v>-2.5197088139997496E-10</v>
      </c>
      <c r="BP179" s="55">
        <f t="shared" ca="1" si="90"/>
        <v>-2.5302076007247487E-10</v>
      </c>
    </row>
    <row r="180" spans="4:68" x14ac:dyDescent="0.2">
      <c r="F180" s="1" t="s">
        <v>166</v>
      </c>
      <c r="I180" s="55">
        <f t="shared" ref="I180:AN180" ca="1" si="91">IF(I6=AssmLoanStart,AssmLoanAmt,0)</f>
        <v>0</v>
      </c>
      <c r="J180" s="55">
        <f t="shared" ca="1" si="91"/>
        <v>0</v>
      </c>
      <c r="K180" s="55">
        <f t="shared" ca="1" si="91"/>
        <v>1000000</v>
      </c>
      <c r="L180" s="55">
        <f t="shared" ca="1" si="91"/>
        <v>0</v>
      </c>
      <c r="M180" s="55">
        <f t="shared" ca="1" si="91"/>
        <v>0</v>
      </c>
      <c r="N180" s="55">
        <f t="shared" ca="1" si="91"/>
        <v>0</v>
      </c>
      <c r="O180" s="55">
        <f t="shared" ca="1" si="91"/>
        <v>0</v>
      </c>
      <c r="P180" s="55">
        <f t="shared" ca="1" si="91"/>
        <v>0</v>
      </c>
      <c r="Q180" s="55">
        <f t="shared" ca="1" si="91"/>
        <v>0</v>
      </c>
      <c r="R180" s="55">
        <f t="shared" ca="1" si="91"/>
        <v>0</v>
      </c>
      <c r="S180" s="55">
        <f t="shared" ca="1" si="91"/>
        <v>0</v>
      </c>
      <c r="T180" s="55">
        <f t="shared" ca="1" si="91"/>
        <v>0</v>
      </c>
      <c r="U180" s="55">
        <f t="shared" ca="1" si="91"/>
        <v>0</v>
      </c>
      <c r="V180" s="55">
        <f t="shared" ca="1" si="91"/>
        <v>0</v>
      </c>
      <c r="W180" s="55">
        <f t="shared" ca="1" si="91"/>
        <v>0</v>
      </c>
      <c r="X180" s="55">
        <f t="shared" ca="1" si="91"/>
        <v>0</v>
      </c>
      <c r="Y180" s="55">
        <f t="shared" ca="1" si="91"/>
        <v>0</v>
      </c>
      <c r="Z180" s="55">
        <f t="shared" ca="1" si="91"/>
        <v>0</v>
      </c>
      <c r="AA180" s="55">
        <f t="shared" ca="1" si="91"/>
        <v>0</v>
      </c>
      <c r="AB180" s="55">
        <f t="shared" ca="1" si="91"/>
        <v>0</v>
      </c>
      <c r="AC180" s="55">
        <f t="shared" ca="1" si="91"/>
        <v>0</v>
      </c>
      <c r="AD180" s="55">
        <f t="shared" ca="1" si="91"/>
        <v>0</v>
      </c>
      <c r="AE180" s="55">
        <f t="shared" ca="1" si="91"/>
        <v>0</v>
      </c>
      <c r="AF180" s="55">
        <f t="shared" ca="1" si="91"/>
        <v>0</v>
      </c>
      <c r="AG180" s="55">
        <f t="shared" ca="1" si="91"/>
        <v>0</v>
      </c>
      <c r="AH180" s="55">
        <f t="shared" ca="1" si="91"/>
        <v>0</v>
      </c>
      <c r="AI180" s="55">
        <f t="shared" ca="1" si="91"/>
        <v>0</v>
      </c>
      <c r="AJ180" s="55">
        <f t="shared" ca="1" si="91"/>
        <v>0</v>
      </c>
      <c r="AK180" s="55">
        <f t="shared" ca="1" si="91"/>
        <v>0</v>
      </c>
      <c r="AL180" s="55">
        <f t="shared" ca="1" si="91"/>
        <v>0</v>
      </c>
      <c r="AM180" s="55">
        <f t="shared" ca="1" si="91"/>
        <v>0</v>
      </c>
      <c r="AN180" s="55">
        <f t="shared" ca="1" si="91"/>
        <v>0</v>
      </c>
      <c r="AO180" s="55">
        <f t="shared" ref="AO180:BP180" ca="1" si="92">IF(AO6=AssmLoanStart,AssmLoanAmt,0)</f>
        <v>0</v>
      </c>
      <c r="AP180" s="55">
        <f t="shared" ca="1" si="92"/>
        <v>0</v>
      </c>
      <c r="AQ180" s="55">
        <f t="shared" ca="1" si="92"/>
        <v>0</v>
      </c>
      <c r="AR180" s="55">
        <f t="shared" ca="1" si="92"/>
        <v>0</v>
      </c>
      <c r="AS180" s="55">
        <f t="shared" ca="1" si="92"/>
        <v>0</v>
      </c>
      <c r="AT180" s="55">
        <f t="shared" ca="1" si="92"/>
        <v>0</v>
      </c>
      <c r="AU180" s="55">
        <f t="shared" ca="1" si="92"/>
        <v>0</v>
      </c>
      <c r="AV180" s="55">
        <f t="shared" ca="1" si="92"/>
        <v>0</v>
      </c>
      <c r="AW180" s="55">
        <f t="shared" ca="1" si="92"/>
        <v>0</v>
      </c>
      <c r="AX180" s="55">
        <f t="shared" ca="1" si="92"/>
        <v>0</v>
      </c>
      <c r="AY180" s="55">
        <f t="shared" ca="1" si="92"/>
        <v>0</v>
      </c>
      <c r="AZ180" s="55">
        <f t="shared" ca="1" si="92"/>
        <v>0</v>
      </c>
      <c r="BA180" s="55">
        <f t="shared" ca="1" si="92"/>
        <v>0</v>
      </c>
      <c r="BB180" s="55">
        <f t="shared" ca="1" si="92"/>
        <v>0</v>
      </c>
      <c r="BC180" s="55">
        <f t="shared" ca="1" si="92"/>
        <v>0</v>
      </c>
      <c r="BD180" s="55">
        <f t="shared" ca="1" si="92"/>
        <v>0</v>
      </c>
      <c r="BE180" s="55">
        <f t="shared" ca="1" si="92"/>
        <v>0</v>
      </c>
      <c r="BF180" s="55">
        <f t="shared" ca="1" si="92"/>
        <v>0</v>
      </c>
      <c r="BG180" s="55">
        <f t="shared" ca="1" si="92"/>
        <v>0</v>
      </c>
      <c r="BH180" s="55">
        <f t="shared" ca="1" si="92"/>
        <v>0</v>
      </c>
      <c r="BI180" s="55">
        <f t="shared" ca="1" si="92"/>
        <v>0</v>
      </c>
      <c r="BJ180" s="55">
        <f t="shared" ca="1" si="92"/>
        <v>0</v>
      </c>
      <c r="BK180" s="55">
        <f t="shared" ca="1" si="92"/>
        <v>0</v>
      </c>
      <c r="BL180" s="55">
        <f t="shared" ca="1" si="92"/>
        <v>0</v>
      </c>
      <c r="BM180" s="55">
        <f t="shared" ca="1" si="92"/>
        <v>0</v>
      </c>
      <c r="BN180" s="55">
        <f t="shared" ca="1" si="92"/>
        <v>0</v>
      </c>
      <c r="BO180" s="55">
        <f t="shared" ca="1" si="92"/>
        <v>0</v>
      </c>
      <c r="BP180" s="55">
        <f t="shared" ca="1" si="92"/>
        <v>0</v>
      </c>
    </row>
    <row r="181" spans="4:68" x14ac:dyDescent="0.2">
      <c r="F181" s="1" t="s">
        <v>167</v>
      </c>
      <c r="I181" s="55">
        <f t="shared" ref="I181:AN181" si="93">IF(ROUND(I179,0)&gt;0,PMT(AssmDrInterest/12,AssmLoanTerm,AssmLoanAmt),0)</f>
        <v>0</v>
      </c>
      <c r="J181" s="55">
        <f t="shared" ca="1" si="93"/>
        <v>0</v>
      </c>
      <c r="K181" s="55">
        <f t="shared" ca="1" si="93"/>
        <v>0</v>
      </c>
      <c r="L181" s="55">
        <f t="shared" ca="1" si="93"/>
        <v>-29970.897104665477</v>
      </c>
      <c r="M181" s="55">
        <f t="shared" ca="1" si="93"/>
        <v>-29970.897104665477</v>
      </c>
      <c r="N181" s="55">
        <f t="shared" ca="1" si="93"/>
        <v>-29970.897104665477</v>
      </c>
      <c r="O181" s="55">
        <f t="shared" ca="1" si="93"/>
        <v>-29970.897104665477</v>
      </c>
      <c r="P181" s="55">
        <f t="shared" ca="1" si="93"/>
        <v>-29970.897104665477</v>
      </c>
      <c r="Q181" s="55">
        <f t="shared" ca="1" si="93"/>
        <v>-29970.897104665477</v>
      </c>
      <c r="R181" s="55">
        <f t="shared" ca="1" si="93"/>
        <v>-29970.897104665477</v>
      </c>
      <c r="S181" s="55">
        <f t="shared" ca="1" si="93"/>
        <v>-29970.897104665477</v>
      </c>
      <c r="T181" s="55">
        <f t="shared" ca="1" si="93"/>
        <v>-29970.897104665477</v>
      </c>
      <c r="U181" s="55">
        <f t="shared" ca="1" si="93"/>
        <v>-29970.897104665477</v>
      </c>
      <c r="V181" s="55">
        <f t="shared" ca="1" si="93"/>
        <v>-29970.897104665477</v>
      </c>
      <c r="W181" s="55">
        <f t="shared" ca="1" si="93"/>
        <v>-29970.897104665477</v>
      </c>
      <c r="X181" s="55">
        <f t="shared" ca="1" si="93"/>
        <v>-29970.897104665477</v>
      </c>
      <c r="Y181" s="55">
        <f t="shared" ca="1" si="93"/>
        <v>-29970.897104665477</v>
      </c>
      <c r="Z181" s="55">
        <f t="shared" ca="1" si="93"/>
        <v>-29970.897104665477</v>
      </c>
      <c r="AA181" s="55">
        <f t="shared" ca="1" si="93"/>
        <v>-29970.897104665477</v>
      </c>
      <c r="AB181" s="55">
        <f t="shared" ca="1" si="93"/>
        <v>-29970.897104665477</v>
      </c>
      <c r="AC181" s="55">
        <f t="shared" ca="1" si="93"/>
        <v>-29970.897104665477</v>
      </c>
      <c r="AD181" s="55">
        <f t="shared" ca="1" si="93"/>
        <v>-29970.897104665477</v>
      </c>
      <c r="AE181" s="55">
        <f t="shared" ca="1" si="93"/>
        <v>-29970.897104665477</v>
      </c>
      <c r="AF181" s="55">
        <f t="shared" ca="1" si="93"/>
        <v>-29970.897104665477</v>
      </c>
      <c r="AG181" s="55">
        <f t="shared" ca="1" si="93"/>
        <v>-29970.897104665477</v>
      </c>
      <c r="AH181" s="55">
        <f t="shared" ca="1" si="93"/>
        <v>-29970.897104665477</v>
      </c>
      <c r="AI181" s="55">
        <f t="shared" ca="1" si="93"/>
        <v>-29970.897104665477</v>
      </c>
      <c r="AJ181" s="55">
        <f t="shared" ca="1" si="93"/>
        <v>-29970.897104665477</v>
      </c>
      <c r="AK181" s="55">
        <f t="shared" ca="1" si="93"/>
        <v>-29970.897104665477</v>
      </c>
      <c r="AL181" s="55">
        <f t="shared" ca="1" si="93"/>
        <v>-29970.897104665477</v>
      </c>
      <c r="AM181" s="55">
        <f t="shared" ca="1" si="93"/>
        <v>-29970.897104665477</v>
      </c>
      <c r="AN181" s="55">
        <f t="shared" ca="1" si="93"/>
        <v>-29970.897104665477</v>
      </c>
      <c r="AO181" s="55">
        <f t="shared" ref="AO181:BP181" ca="1" si="94">IF(ROUND(AO179,0)&gt;0,PMT(AssmDrInterest/12,AssmLoanTerm,AssmLoanAmt),0)</f>
        <v>-29970.897104665477</v>
      </c>
      <c r="AP181" s="55">
        <f t="shared" ca="1" si="94"/>
        <v>-29970.897104665477</v>
      </c>
      <c r="AQ181" s="55">
        <f t="shared" ca="1" si="94"/>
        <v>-29970.897104665477</v>
      </c>
      <c r="AR181" s="55">
        <f t="shared" ca="1" si="94"/>
        <v>-29970.897104665477</v>
      </c>
      <c r="AS181" s="55">
        <f t="shared" ca="1" si="94"/>
        <v>-29970.897104665477</v>
      </c>
      <c r="AT181" s="55">
        <f t="shared" ca="1" si="94"/>
        <v>-29970.897104665477</v>
      </c>
      <c r="AU181" s="55">
        <f t="shared" ca="1" si="94"/>
        <v>-29970.897104665477</v>
      </c>
      <c r="AV181" s="55">
        <f t="shared" ca="1" si="94"/>
        <v>0</v>
      </c>
      <c r="AW181" s="55">
        <f t="shared" ca="1" si="94"/>
        <v>0</v>
      </c>
      <c r="AX181" s="55">
        <f t="shared" ca="1" si="94"/>
        <v>0</v>
      </c>
      <c r="AY181" s="55">
        <f t="shared" ca="1" si="94"/>
        <v>0</v>
      </c>
      <c r="AZ181" s="55">
        <f t="shared" ca="1" si="94"/>
        <v>0</v>
      </c>
      <c r="BA181" s="55">
        <f t="shared" ca="1" si="94"/>
        <v>0</v>
      </c>
      <c r="BB181" s="55">
        <f t="shared" ca="1" si="94"/>
        <v>0</v>
      </c>
      <c r="BC181" s="55">
        <f t="shared" ca="1" si="94"/>
        <v>0</v>
      </c>
      <c r="BD181" s="55">
        <f t="shared" ca="1" si="94"/>
        <v>0</v>
      </c>
      <c r="BE181" s="55">
        <f t="shared" ca="1" si="94"/>
        <v>0</v>
      </c>
      <c r="BF181" s="55">
        <f t="shared" ca="1" si="94"/>
        <v>0</v>
      </c>
      <c r="BG181" s="55">
        <f t="shared" ca="1" si="94"/>
        <v>0</v>
      </c>
      <c r="BH181" s="55">
        <f t="shared" ca="1" si="94"/>
        <v>0</v>
      </c>
      <c r="BI181" s="55">
        <f t="shared" ca="1" si="94"/>
        <v>0</v>
      </c>
      <c r="BJ181" s="55">
        <f t="shared" ca="1" si="94"/>
        <v>0</v>
      </c>
      <c r="BK181" s="55">
        <f t="shared" ca="1" si="94"/>
        <v>0</v>
      </c>
      <c r="BL181" s="55">
        <f t="shared" ca="1" si="94"/>
        <v>0</v>
      </c>
      <c r="BM181" s="55">
        <f t="shared" ca="1" si="94"/>
        <v>0</v>
      </c>
      <c r="BN181" s="55">
        <f t="shared" ca="1" si="94"/>
        <v>0</v>
      </c>
      <c r="BO181" s="55">
        <f t="shared" ca="1" si="94"/>
        <v>0</v>
      </c>
      <c r="BP181" s="55">
        <f t="shared" ca="1" si="94"/>
        <v>0</v>
      </c>
    </row>
    <row r="182" spans="4:68" x14ac:dyDescent="0.2">
      <c r="G182" s="1" t="s">
        <v>168</v>
      </c>
      <c r="I182" s="55">
        <f t="shared" ref="I182:AN182" si="95">-I179*AssmDrInterest/12</f>
        <v>0</v>
      </c>
      <c r="J182" s="55">
        <f t="shared" ca="1" si="95"/>
        <v>0</v>
      </c>
      <c r="K182" s="55">
        <f t="shared" ca="1" si="95"/>
        <v>0</v>
      </c>
      <c r="L182" s="55">
        <f t="shared" ca="1" si="95"/>
        <v>-4166.666666666667</v>
      </c>
      <c r="M182" s="55">
        <f t="shared" ca="1" si="95"/>
        <v>-4059.1490398416718</v>
      </c>
      <c r="N182" s="55">
        <f t="shared" ca="1" si="95"/>
        <v>-3951.1834229049059</v>
      </c>
      <c r="O182" s="55">
        <f t="shared" ca="1" si="95"/>
        <v>-3842.7679492309035</v>
      </c>
      <c r="P182" s="55">
        <f t="shared" ca="1" si="95"/>
        <v>-3733.9007444165932</v>
      </c>
      <c r="Q182" s="55">
        <f t="shared" ca="1" si="95"/>
        <v>-3624.5799262488895</v>
      </c>
      <c r="R182" s="55">
        <f t="shared" ca="1" si="95"/>
        <v>-3514.8036046721536</v>
      </c>
      <c r="S182" s="55">
        <f t="shared" ca="1" si="95"/>
        <v>-3404.5698817555149</v>
      </c>
      <c r="T182" s="55">
        <f t="shared" ca="1" si="95"/>
        <v>-3293.8768516600562</v>
      </c>
      <c r="U182" s="55">
        <f t="shared" ca="1" si="95"/>
        <v>-3182.7226006058668</v>
      </c>
      <c r="V182" s="55">
        <f t="shared" ca="1" si="95"/>
        <v>-3071.1052068389522</v>
      </c>
      <c r="W182" s="55">
        <f t="shared" ca="1" si="95"/>
        <v>-2959.0227405980081</v>
      </c>
      <c r="X182" s="55">
        <f t="shared" ca="1" si="95"/>
        <v>-2846.4732640810612</v>
      </c>
      <c r="Y182" s="55">
        <f t="shared" ca="1" si="95"/>
        <v>-2733.4548314119588</v>
      </c>
      <c r="Z182" s="55">
        <f t="shared" ca="1" si="95"/>
        <v>-2619.965488606736</v>
      </c>
      <c r="AA182" s="55">
        <f t="shared" ca="1" si="95"/>
        <v>-2506.0032735398249</v>
      </c>
      <c r="AB182" s="55">
        <f t="shared" ca="1" si="95"/>
        <v>-2391.5662159101344</v>
      </c>
      <c r="AC182" s="55">
        <f t="shared" ca="1" si="95"/>
        <v>-2276.6523372069873</v>
      </c>
      <c r="AD182" s="55">
        <f t="shared" ca="1" si="95"/>
        <v>-2161.2596506759101</v>
      </c>
      <c r="AE182" s="55">
        <f t="shared" ca="1" si="95"/>
        <v>-2045.3861612842868</v>
      </c>
      <c r="AF182" s="55">
        <f t="shared" ca="1" si="95"/>
        <v>-1929.0298656868654</v>
      </c>
      <c r="AG182" s="55">
        <f t="shared" ca="1" si="95"/>
        <v>-1812.188752191121</v>
      </c>
      <c r="AH182" s="55">
        <f t="shared" ca="1" si="95"/>
        <v>-1694.8608007224777</v>
      </c>
      <c r="AI182" s="55">
        <f t="shared" ca="1" si="95"/>
        <v>-1577.0439827893817</v>
      </c>
      <c r="AJ182" s="55">
        <f t="shared" ca="1" si="95"/>
        <v>-1458.7362614482315</v>
      </c>
      <c r="AK182" s="55">
        <f t="shared" ca="1" si="95"/>
        <v>-1339.9355912681597</v>
      </c>
      <c r="AL182" s="55">
        <f t="shared" ca="1" si="95"/>
        <v>-1220.6399182956709</v>
      </c>
      <c r="AM182" s="55">
        <f t="shared" ca="1" si="95"/>
        <v>-1100.8471800191298</v>
      </c>
      <c r="AN182" s="55">
        <f t="shared" ca="1" si="95"/>
        <v>-980.55530533310355</v>
      </c>
      <c r="AO182" s="55">
        <f t="shared" ref="AO182:BP182" ca="1" si="96">-AO179*AssmDrInterest/12</f>
        <v>-859.76221450255196</v>
      </c>
      <c r="AP182" s="55">
        <f t="shared" ca="1" si="96"/>
        <v>-738.46581912687304</v>
      </c>
      <c r="AQ182" s="55">
        <f t="shared" ca="1" si="96"/>
        <v>-616.66402210379556</v>
      </c>
      <c r="AR182" s="55">
        <f t="shared" ca="1" si="96"/>
        <v>-494.3547175931219</v>
      </c>
      <c r="AS182" s="55">
        <f t="shared" ca="1" si="96"/>
        <v>-371.53579098032037</v>
      </c>
      <c r="AT182" s="55">
        <f t="shared" ca="1" si="96"/>
        <v>-248.20511883996554</v>
      </c>
      <c r="AU182" s="55">
        <f t="shared" ca="1" si="96"/>
        <v>-124.36056889902592</v>
      </c>
      <c r="AV182" s="55">
        <f t="shared" ca="1" si="96"/>
        <v>9.7012768189112344E-13</v>
      </c>
      <c r="AW182" s="55">
        <f t="shared" ca="1" si="96"/>
        <v>9.7416988056566981E-13</v>
      </c>
      <c r="AX182" s="55">
        <f t="shared" ca="1" si="96"/>
        <v>9.7822892173469357E-13</v>
      </c>
      <c r="AY182" s="55">
        <f t="shared" ca="1" si="96"/>
        <v>9.8230487557525479E-13</v>
      </c>
      <c r="AZ182" s="55">
        <f t="shared" ca="1" si="96"/>
        <v>9.8639781255681825E-13</v>
      </c>
      <c r="BA182" s="55">
        <f t="shared" ca="1" si="96"/>
        <v>9.9050780344247179E-13</v>
      </c>
      <c r="BB182" s="55">
        <f t="shared" ca="1" si="96"/>
        <v>9.9463491929014872E-13</v>
      </c>
      <c r="BC182" s="55">
        <f t="shared" ca="1" si="96"/>
        <v>9.9877923145385768E-13</v>
      </c>
      <c r="BD182" s="55">
        <f t="shared" ca="1" si="96"/>
        <v>1.0029408115849153E-12</v>
      </c>
      <c r="BE182" s="55">
        <f t="shared" ca="1" si="96"/>
        <v>1.0071197316331859E-12</v>
      </c>
      <c r="BF182" s="55">
        <f t="shared" ca="1" si="96"/>
        <v>1.0113160638483241E-12</v>
      </c>
      <c r="BG182" s="55">
        <f t="shared" ca="1" si="96"/>
        <v>1.0155298807810253E-12</v>
      </c>
      <c r="BH182" s="55">
        <f t="shared" ca="1" si="96"/>
        <v>1.0197612552842798E-12</v>
      </c>
      <c r="BI182" s="55">
        <f t="shared" ca="1" si="96"/>
        <v>1.024010260514631E-12</v>
      </c>
      <c r="BJ182" s="55">
        <f t="shared" ca="1" si="96"/>
        <v>1.0282769699334418E-12</v>
      </c>
      <c r="BK182" s="55">
        <f t="shared" ca="1" si="96"/>
        <v>1.0325614573081646E-12</v>
      </c>
      <c r="BL182" s="55">
        <f t="shared" ca="1" si="96"/>
        <v>1.0368637967136151E-12</v>
      </c>
      <c r="BM182" s="55">
        <f t="shared" ca="1" si="96"/>
        <v>1.0411840625332554E-12</v>
      </c>
      <c r="BN182" s="55">
        <f t="shared" ca="1" si="96"/>
        <v>1.045522329460477E-12</v>
      </c>
      <c r="BO182" s="55">
        <f t="shared" ca="1" si="96"/>
        <v>1.0498786724998957E-12</v>
      </c>
      <c r="BP182" s="55">
        <f t="shared" ca="1" si="96"/>
        <v>1.0542531669686452E-12</v>
      </c>
    </row>
    <row r="183" spans="4:68" x14ac:dyDescent="0.2">
      <c r="G183" s="1" t="s">
        <v>169</v>
      </c>
      <c r="I183" s="55">
        <f>I181-I182</f>
        <v>0</v>
      </c>
      <c r="J183" s="55">
        <f t="shared" ref="J183:BP183" ca="1" si="97">J181-J182</f>
        <v>0</v>
      </c>
      <c r="K183" s="55">
        <f t="shared" ca="1" si="97"/>
        <v>0</v>
      </c>
      <c r="L183" s="55">
        <f t="shared" ca="1" si="97"/>
        <v>-25804.230437998809</v>
      </c>
      <c r="M183" s="55">
        <f t="shared" ca="1" si="97"/>
        <v>-25911.748064823805</v>
      </c>
      <c r="N183" s="55">
        <f t="shared" ca="1" si="97"/>
        <v>-26019.713681760571</v>
      </c>
      <c r="O183" s="55">
        <f t="shared" ca="1" si="97"/>
        <v>-26128.129155434573</v>
      </c>
      <c r="P183" s="55">
        <f t="shared" ca="1" si="97"/>
        <v>-26236.996360248882</v>
      </c>
      <c r="Q183" s="55">
        <f t="shared" ca="1" si="97"/>
        <v>-26346.317178416586</v>
      </c>
      <c r="R183" s="55">
        <f t="shared" ca="1" si="97"/>
        <v>-26456.093499993323</v>
      </c>
      <c r="S183" s="55">
        <f t="shared" ca="1" si="97"/>
        <v>-26566.32722290996</v>
      </c>
      <c r="T183" s="55">
        <f t="shared" ca="1" si="97"/>
        <v>-26677.020253005419</v>
      </c>
      <c r="U183" s="55">
        <f t="shared" ca="1" si="97"/>
        <v>-26788.174504059611</v>
      </c>
      <c r="V183" s="55">
        <f t="shared" ca="1" si="97"/>
        <v>-26899.791897826526</v>
      </c>
      <c r="W183" s="55">
        <f t="shared" ca="1" si="97"/>
        <v>-27011.874364067469</v>
      </c>
      <c r="X183" s="55">
        <f t="shared" ca="1" si="97"/>
        <v>-27124.423840584415</v>
      </c>
      <c r="Y183" s="55">
        <f t="shared" ca="1" si="97"/>
        <v>-27237.442273253517</v>
      </c>
      <c r="Z183" s="55">
        <f t="shared" ca="1" si="97"/>
        <v>-27350.93161605874</v>
      </c>
      <c r="AA183" s="55">
        <f t="shared" ca="1" si="97"/>
        <v>-27464.893831125653</v>
      </c>
      <c r="AB183" s="55">
        <f t="shared" ca="1" si="97"/>
        <v>-27579.330888755343</v>
      </c>
      <c r="AC183" s="55">
        <f t="shared" ca="1" si="97"/>
        <v>-27694.244767458491</v>
      </c>
      <c r="AD183" s="55">
        <f t="shared" ca="1" si="97"/>
        <v>-27809.637453989566</v>
      </c>
      <c r="AE183" s="55">
        <f t="shared" ca="1" si="97"/>
        <v>-27925.510943381189</v>
      </c>
      <c r="AF183" s="55">
        <f t="shared" ca="1" si="97"/>
        <v>-28041.867238978612</v>
      </c>
      <c r="AG183" s="55">
        <f t="shared" ca="1" si="97"/>
        <v>-28158.708352474358</v>
      </c>
      <c r="AH183" s="55">
        <f t="shared" ca="1" si="97"/>
        <v>-28276.036303942998</v>
      </c>
      <c r="AI183" s="55">
        <f t="shared" ca="1" si="97"/>
        <v>-28393.853121876095</v>
      </c>
      <c r="AJ183" s="55">
        <f t="shared" ca="1" si="97"/>
        <v>-28512.160843217247</v>
      </c>
      <c r="AK183" s="55">
        <f t="shared" ca="1" si="97"/>
        <v>-28630.961513397317</v>
      </c>
      <c r="AL183" s="55">
        <f t="shared" ca="1" si="97"/>
        <v>-28750.257186369807</v>
      </c>
      <c r="AM183" s="55">
        <f t="shared" ca="1" si="97"/>
        <v>-28870.049924646348</v>
      </c>
      <c r="AN183" s="55">
        <f t="shared" ca="1" si="97"/>
        <v>-28990.341799332375</v>
      </c>
      <c r="AO183" s="55">
        <f t="shared" ca="1" si="97"/>
        <v>-29111.134890162924</v>
      </c>
      <c r="AP183" s="55">
        <f t="shared" ca="1" si="97"/>
        <v>-29232.431285538605</v>
      </c>
      <c r="AQ183" s="55">
        <f t="shared" ca="1" si="97"/>
        <v>-29354.233082561681</v>
      </c>
      <c r="AR183" s="55">
        <f t="shared" ca="1" si="97"/>
        <v>-29476.542387072353</v>
      </c>
      <c r="AS183" s="55">
        <f t="shared" ca="1" si="97"/>
        <v>-29599.361313685156</v>
      </c>
      <c r="AT183" s="55">
        <f t="shared" ca="1" si="97"/>
        <v>-29722.69198582551</v>
      </c>
      <c r="AU183" s="55">
        <f t="shared" ca="1" si="97"/>
        <v>-29846.536535766452</v>
      </c>
      <c r="AV183" s="55">
        <f t="shared" ca="1" si="97"/>
        <v>-9.7012768189112344E-13</v>
      </c>
      <c r="AW183" s="55">
        <f t="shared" ca="1" si="97"/>
        <v>-9.7416988056566981E-13</v>
      </c>
      <c r="AX183" s="55">
        <f t="shared" ca="1" si="97"/>
        <v>-9.7822892173469357E-13</v>
      </c>
      <c r="AY183" s="55">
        <f t="shared" ca="1" si="97"/>
        <v>-9.8230487557525479E-13</v>
      </c>
      <c r="AZ183" s="55">
        <f t="shared" ca="1" si="97"/>
        <v>-9.8639781255681825E-13</v>
      </c>
      <c r="BA183" s="55">
        <f t="shared" ca="1" si="97"/>
        <v>-9.9050780344247179E-13</v>
      </c>
      <c r="BB183" s="55">
        <f t="shared" ca="1" si="97"/>
        <v>-9.9463491929014872E-13</v>
      </c>
      <c r="BC183" s="55">
        <f t="shared" ca="1" si="97"/>
        <v>-9.9877923145385768E-13</v>
      </c>
      <c r="BD183" s="55">
        <f t="shared" ca="1" si="97"/>
        <v>-1.0029408115849153E-12</v>
      </c>
      <c r="BE183" s="55">
        <f t="shared" ca="1" si="97"/>
        <v>-1.0071197316331859E-12</v>
      </c>
      <c r="BF183" s="55">
        <f t="shared" ca="1" si="97"/>
        <v>-1.0113160638483241E-12</v>
      </c>
      <c r="BG183" s="55">
        <f t="shared" ca="1" si="97"/>
        <v>-1.0155298807810253E-12</v>
      </c>
      <c r="BH183" s="55">
        <f t="shared" ca="1" si="97"/>
        <v>-1.0197612552842798E-12</v>
      </c>
      <c r="BI183" s="55">
        <f t="shared" ca="1" si="97"/>
        <v>-1.024010260514631E-12</v>
      </c>
      <c r="BJ183" s="55">
        <f t="shared" ca="1" si="97"/>
        <v>-1.0282769699334418E-12</v>
      </c>
      <c r="BK183" s="55">
        <f t="shared" ca="1" si="97"/>
        <v>-1.0325614573081646E-12</v>
      </c>
      <c r="BL183" s="55">
        <f t="shared" ca="1" si="97"/>
        <v>-1.0368637967136151E-12</v>
      </c>
      <c r="BM183" s="55">
        <f t="shared" ca="1" si="97"/>
        <v>-1.0411840625332554E-12</v>
      </c>
      <c r="BN183" s="55">
        <f t="shared" ca="1" si="97"/>
        <v>-1.045522329460477E-12</v>
      </c>
      <c r="BO183" s="55">
        <f t="shared" ca="1" si="97"/>
        <v>-1.0498786724998957E-12</v>
      </c>
      <c r="BP183" s="55">
        <f t="shared" ca="1" si="97"/>
        <v>-1.0542531669686452E-12</v>
      </c>
    </row>
    <row r="184" spans="4:68" x14ac:dyDescent="0.2">
      <c r="E184" s="1" t="s">
        <v>153</v>
      </c>
      <c r="I184" s="59">
        <f ca="1">I179+I180+I183</f>
        <v>0</v>
      </c>
      <c r="J184" s="59">
        <f t="shared" ref="J184:BP184" ca="1" si="98">J179+J180+J183</f>
        <v>0</v>
      </c>
      <c r="K184" s="59">
        <f t="shared" ca="1" si="98"/>
        <v>1000000</v>
      </c>
      <c r="L184" s="59">
        <f t="shared" ca="1" si="98"/>
        <v>974195.76956200122</v>
      </c>
      <c r="M184" s="59">
        <f t="shared" ca="1" si="98"/>
        <v>948284.02149717743</v>
      </c>
      <c r="N184" s="59">
        <f t="shared" ca="1" si="98"/>
        <v>922264.30781541683</v>
      </c>
      <c r="O184" s="59">
        <f t="shared" ca="1" si="98"/>
        <v>896136.17865998228</v>
      </c>
      <c r="P184" s="59">
        <f t="shared" ca="1" si="98"/>
        <v>869899.18229973339</v>
      </c>
      <c r="Q184" s="59">
        <f t="shared" ca="1" si="98"/>
        <v>843552.86512131686</v>
      </c>
      <c r="R184" s="59">
        <f t="shared" ca="1" si="98"/>
        <v>817096.77162132354</v>
      </c>
      <c r="S184" s="59">
        <f t="shared" ca="1" si="98"/>
        <v>790530.44439841353</v>
      </c>
      <c r="T184" s="59">
        <f t="shared" ca="1" si="98"/>
        <v>763853.42414540809</v>
      </c>
      <c r="U184" s="59">
        <f t="shared" ca="1" si="98"/>
        <v>737065.24964134849</v>
      </c>
      <c r="V184" s="59">
        <f t="shared" ca="1" si="98"/>
        <v>710165.45774352201</v>
      </c>
      <c r="W184" s="59">
        <f t="shared" ca="1" si="98"/>
        <v>683153.58337945456</v>
      </c>
      <c r="X184" s="59">
        <f t="shared" ca="1" si="98"/>
        <v>656029.1595388701</v>
      </c>
      <c r="Y184" s="59">
        <f t="shared" ca="1" si="98"/>
        <v>628791.71726561664</v>
      </c>
      <c r="Z184" s="59">
        <f t="shared" ca="1" si="98"/>
        <v>601440.78564955795</v>
      </c>
      <c r="AA184" s="59">
        <f t="shared" ca="1" si="98"/>
        <v>573975.89181843225</v>
      </c>
      <c r="AB184" s="59">
        <f t="shared" ca="1" si="98"/>
        <v>546396.56092967687</v>
      </c>
      <c r="AC184" s="59">
        <f t="shared" ca="1" si="98"/>
        <v>518702.3161622184</v>
      </c>
      <c r="AD184" s="59">
        <f t="shared" ca="1" si="98"/>
        <v>490892.67870822881</v>
      </c>
      <c r="AE184" s="59">
        <f t="shared" ca="1" si="98"/>
        <v>462967.16776484763</v>
      </c>
      <c r="AF184" s="59">
        <f t="shared" ca="1" si="98"/>
        <v>434925.30052586901</v>
      </c>
      <c r="AG184" s="59">
        <f t="shared" ca="1" si="98"/>
        <v>406766.59217339463</v>
      </c>
      <c r="AH184" s="59">
        <f t="shared" ca="1" si="98"/>
        <v>378490.55586945161</v>
      </c>
      <c r="AI184" s="59">
        <f t="shared" ca="1" si="98"/>
        <v>350096.70274757553</v>
      </c>
      <c r="AJ184" s="59">
        <f t="shared" ca="1" si="98"/>
        <v>321584.54190435831</v>
      </c>
      <c r="AK184" s="59">
        <f t="shared" ca="1" si="98"/>
        <v>292953.58039096097</v>
      </c>
      <c r="AL184" s="59">
        <f t="shared" ca="1" si="98"/>
        <v>264203.32320459117</v>
      </c>
      <c r="AM184" s="59">
        <f t="shared" ca="1" si="98"/>
        <v>235333.27327994481</v>
      </c>
      <c r="AN184" s="59">
        <f t="shared" ca="1" si="98"/>
        <v>206342.93148061243</v>
      </c>
      <c r="AO184" s="59">
        <f t="shared" ca="1" si="98"/>
        <v>177231.79659044952</v>
      </c>
      <c r="AP184" s="59">
        <f t="shared" ca="1" si="98"/>
        <v>147999.36530491093</v>
      </c>
      <c r="AQ184" s="59">
        <f t="shared" ca="1" si="98"/>
        <v>118645.13222234925</v>
      </c>
      <c r="AR184" s="59">
        <f t="shared" ca="1" si="98"/>
        <v>89168.589835276885</v>
      </c>
      <c r="AS184" s="59">
        <f t="shared" ca="1" si="98"/>
        <v>59569.228521591729</v>
      </c>
      <c r="AT184" s="59">
        <f t="shared" ca="1" si="98"/>
        <v>29846.536535766219</v>
      </c>
      <c r="AU184" s="59">
        <f t="shared" ca="1" si="98"/>
        <v>-2.3283064365386963E-10</v>
      </c>
      <c r="AV184" s="59">
        <f t="shared" ca="1" si="98"/>
        <v>-2.3380077133576075E-10</v>
      </c>
      <c r="AW184" s="59">
        <f t="shared" ca="1" si="98"/>
        <v>-2.3477494121632643E-10</v>
      </c>
      <c r="AX184" s="59">
        <f t="shared" ca="1" si="98"/>
        <v>-2.3575317013806114E-10</v>
      </c>
      <c r="AY184" s="59">
        <f t="shared" ca="1" si="98"/>
        <v>-2.3673547501363639E-10</v>
      </c>
      <c r="AZ184" s="59">
        <f t="shared" ca="1" si="98"/>
        <v>-2.3772187282619319E-10</v>
      </c>
      <c r="BA184" s="59">
        <f t="shared" ca="1" si="98"/>
        <v>-2.3871238062963566E-10</v>
      </c>
      <c r="BB184" s="59">
        <f t="shared" ca="1" si="98"/>
        <v>-2.3970701554892582E-10</v>
      </c>
      <c r="BC184" s="59">
        <f t="shared" ca="1" si="98"/>
        <v>-2.4070579478037969E-10</v>
      </c>
      <c r="BD184" s="59">
        <f t="shared" ca="1" si="98"/>
        <v>-2.417087355919646E-10</v>
      </c>
      <c r="BE184" s="59">
        <f t="shared" ca="1" si="98"/>
        <v>-2.4271585532359777E-10</v>
      </c>
      <c r="BF184" s="59">
        <f t="shared" ca="1" si="98"/>
        <v>-2.4372717138744607E-10</v>
      </c>
      <c r="BG184" s="59">
        <f t="shared" ca="1" si="98"/>
        <v>-2.4474270126822712E-10</v>
      </c>
      <c r="BH184" s="59">
        <f t="shared" ca="1" si="98"/>
        <v>-2.4576246252351142E-10</v>
      </c>
      <c r="BI184" s="59">
        <f t="shared" ca="1" si="98"/>
        <v>-2.4678647278402604E-10</v>
      </c>
      <c r="BJ184" s="59">
        <f t="shared" ca="1" si="98"/>
        <v>-2.4781474975395948E-10</v>
      </c>
      <c r="BK184" s="59">
        <f t="shared" ca="1" si="98"/>
        <v>-2.4884731121126765E-10</v>
      </c>
      <c r="BL184" s="59">
        <f t="shared" ca="1" si="98"/>
        <v>-2.4988417500798127E-10</v>
      </c>
      <c r="BM184" s="59">
        <f t="shared" ca="1" si="98"/>
        <v>-2.5092535907051451E-10</v>
      </c>
      <c r="BN184" s="59">
        <f t="shared" ca="1" si="98"/>
        <v>-2.5197088139997496E-10</v>
      </c>
      <c r="BO184" s="59">
        <f t="shared" ca="1" si="98"/>
        <v>-2.5302076007247487E-10</v>
      </c>
      <c r="BP184" s="59">
        <f t="shared" ca="1" si="98"/>
        <v>-2.5407501323944351E-10</v>
      </c>
    </row>
    <row r="186" spans="4:68" x14ac:dyDescent="0.2">
      <c r="E186" s="1" t="s">
        <v>170</v>
      </c>
    </row>
    <row r="187" spans="4:68" x14ac:dyDescent="0.2">
      <c r="F187" s="1" t="s">
        <v>171</v>
      </c>
      <c r="I187" s="55">
        <f t="shared" ref="I187:AN187" si="99">AssmLoanSecurity</f>
        <v>800000</v>
      </c>
      <c r="J187" s="55">
        <f t="shared" si="99"/>
        <v>800000</v>
      </c>
      <c r="K187" s="55">
        <f t="shared" si="99"/>
        <v>800000</v>
      </c>
      <c r="L187" s="55">
        <f t="shared" si="99"/>
        <v>800000</v>
      </c>
      <c r="M187" s="55">
        <f t="shared" si="99"/>
        <v>800000</v>
      </c>
      <c r="N187" s="55">
        <f t="shared" si="99"/>
        <v>800000</v>
      </c>
      <c r="O187" s="55">
        <f t="shared" si="99"/>
        <v>800000</v>
      </c>
      <c r="P187" s="55">
        <f t="shared" si="99"/>
        <v>800000</v>
      </c>
      <c r="Q187" s="55">
        <f t="shared" si="99"/>
        <v>800000</v>
      </c>
      <c r="R187" s="55">
        <f t="shared" si="99"/>
        <v>800000</v>
      </c>
      <c r="S187" s="55">
        <f t="shared" si="99"/>
        <v>800000</v>
      </c>
      <c r="T187" s="55">
        <f t="shared" si="99"/>
        <v>800000</v>
      </c>
      <c r="U187" s="55">
        <f t="shared" si="99"/>
        <v>800000</v>
      </c>
      <c r="V187" s="55">
        <f t="shared" si="99"/>
        <v>800000</v>
      </c>
      <c r="W187" s="55">
        <f t="shared" si="99"/>
        <v>800000</v>
      </c>
      <c r="X187" s="55">
        <f t="shared" si="99"/>
        <v>800000</v>
      </c>
      <c r="Y187" s="55">
        <f t="shared" si="99"/>
        <v>800000</v>
      </c>
      <c r="Z187" s="55">
        <f t="shared" si="99"/>
        <v>800000</v>
      </c>
      <c r="AA187" s="55">
        <f t="shared" si="99"/>
        <v>800000</v>
      </c>
      <c r="AB187" s="55">
        <f t="shared" si="99"/>
        <v>800000</v>
      </c>
      <c r="AC187" s="55">
        <f t="shared" si="99"/>
        <v>800000</v>
      </c>
      <c r="AD187" s="55">
        <f t="shared" si="99"/>
        <v>800000</v>
      </c>
      <c r="AE187" s="55">
        <f t="shared" si="99"/>
        <v>800000</v>
      </c>
      <c r="AF187" s="55">
        <f t="shared" si="99"/>
        <v>800000</v>
      </c>
      <c r="AG187" s="55">
        <f t="shared" si="99"/>
        <v>800000</v>
      </c>
      <c r="AH187" s="55">
        <f t="shared" si="99"/>
        <v>800000</v>
      </c>
      <c r="AI187" s="55">
        <f t="shared" si="99"/>
        <v>800000</v>
      </c>
      <c r="AJ187" s="55">
        <f t="shared" si="99"/>
        <v>800000</v>
      </c>
      <c r="AK187" s="55">
        <f t="shared" si="99"/>
        <v>800000</v>
      </c>
      <c r="AL187" s="55">
        <f t="shared" si="99"/>
        <v>800000</v>
      </c>
      <c r="AM187" s="55">
        <f t="shared" si="99"/>
        <v>800000</v>
      </c>
      <c r="AN187" s="55">
        <f t="shared" si="99"/>
        <v>800000</v>
      </c>
      <c r="AO187" s="55">
        <f t="shared" ref="AO187:BP187" si="100">AssmLoanSecurity</f>
        <v>800000</v>
      </c>
      <c r="AP187" s="55">
        <f t="shared" si="100"/>
        <v>800000</v>
      </c>
      <c r="AQ187" s="55">
        <f t="shared" si="100"/>
        <v>800000</v>
      </c>
      <c r="AR187" s="55">
        <f t="shared" si="100"/>
        <v>800000</v>
      </c>
      <c r="AS187" s="55">
        <f t="shared" si="100"/>
        <v>800000</v>
      </c>
      <c r="AT187" s="55">
        <f t="shared" si="100"/>
        <v>800000</v>
      </c>
      <c r="AU187" s="55">
        <f t="shared" si="100"/>
        <v>800000</v>
      </c>
      <c r="AV187" s="55">
        <f t="shared" si="100"/>
        <v>800000</v>
      </c>
      <c r="AW187" s="55">
        <f t="shared" si="100"/>
        <v>800000</v>
      </c>
      <c r="AX187" s="55">
        <f t="shared" si="100"/>
        <v>800000</v>
      </c>
      <c r="AY187" s="55">
        <f t="shared" si="100"/>
        <v>800000</v>
      </c>
      <c r="AZ187" s="55">
        <f t="shared" si="100"/>
        <v>800000</v>
      </c>
      <c r="BA187" s="55">
        <f t="shared" si="100"/>
        <v>800000</v>
      </c>
      <c r="BB187" s="55">
        <f t="shared" si="100"/>
        <v>800000</v>
      </c>
      <c r="BC187" s="55">
        <f t="shared" si="100"/>
        <v>800000</v>
      </c>
      <c r="BD187" s="55">
        <f t="shared" si="100"/>
        <v>800000</v>
      </c>
      <c r="BE187" s="55">
        <f t="shared" si="100"/>
        <v>800000</v>
      </c>
      <c r="BF187" s="55">
        <f t="shared" si="100"/>
        <v>800000</v>
      </c>
      <c r="BG187" s="55">
        <f t="shared" si="100"/>
        <v>800000</v>
      </c>
      <c r="BH187" s="55">
        <f t="shared" si="100"/>
        <v>800000</v>
      </c>
      <c r="BI187" s="55">
        <f t="shared" si="100"/>
        <v>800000</v>
      </c>
      <c r="BJ187" s="55">
        <f t="shared" si="100"/>
        <v>800000</v>
      </c>
      <c r="BK187" s="55">
        <f t="shared" si="100"/>
        <v>800000</v>
      </c>
      <c r="BL187" s="55">
        <f t="shared" si="100"/>
        <v>800000</v>
      </c>
      <c r="BM187" s="55">
        <f t="shared" si="100"/>
        <v>800000</v>
      </c>
      <c r="BN187" s="55">
        <f t="shared" si="100"/>
        <v>800000</v>
      </c>
      <c r="BO187" s="55">
        <f t="shared" si="100"/>
        <v>800000</v>
      </c>
      <c r="BP187" s="55">
        <f t="shared" si="100"/>
        <v>800000</v>
      </c>
    </row>
    <row r="188" spans="4:68" x14ac:dyDescent="0.2">
      <c r="F188" s="1" t="s">
        <v>172</v>
      </c>
      <c r="I188" s="55">
        <f ca="1">I107</f>
        <v>3258.3333333333335</v>
      </c>
      <c r="J188" s="55">
        <f t="shared" ref="J188:BP188" ca="1" si="101">J107</f>
        <v>5033.333333333333</v>
      </c>
      <c r="K188" s="55">
        <f t="shared" ca="1" si="101"/>
        <v>14008.333333333334</v>
      </c>
      <c r="L188" s="55">
        <f t="shared" ca="1" si="101"/>
        <v>18175</v>
      </c>
      <c r="M188" s="55">
        <f t="shared" ca="1" si="101"/>
        <v>19258.333333333332</v>
      </c>
      <c r="N188" s="55">
        <f t="shared" ca="1" si="101"/>
        <v>24091.666666666664</v>
      </c>
      <c r="O188" s="55">
        <f t="shared" ca="1" si="101"/>
        <v>28675</v>
      </c>
      <c r="P188" s="55">
        <f t="shared" ca="1" si="101"/>
        <v>27258.333333333332</v>
      </c>
      <c r="Q188" s="55">
        <f t="shared" ca="1" si="101"/>
        <v>29675</v>
      </c>
      <c r="R188" s="55">
        <f t="shared" ca="1" si="101"/>
        <v>33841.666666666664</v>
      </c>
      <c r="S188" s="55">
        <f t="shared" ca="1" si="101"/>
        <v>37758.333333333328</v>
      </c>
      <c r="T188" s="55">
        <f t="shared" ca="1" si="101"/>
        <v>41425</v>
      </c>
      <c r="U188" s="55">
        <f t="shared" ca="1" si="101"/>
        <v>42925</v>
      </c>
      <c r="V188" s="55">
        <f t="shared" ca="1" si="101"/>
        <v>46175</v>
      </c>
      <c r="W188" s="55">
        <f t="shared" ca="1" si="101"/>
        <v>49175</v>
      </c>
      <c r="X188" s="55">
        <f t="shared" ca="1" si="101"/>
        <v>50008.333333333328</v>
      </c>
      <c r="Y188" s="55">
        <f t="shared" ca="1" si="101"/>
        <v>52591.666666666657</v>
      </c>
      <c r="Z188" s="55">
        <f t="shared" ca="1" si="101"/>
        <v>54924.999999999993</v>
      </c>
      <c r="AA188" s="55">
        <f t="shared" ca="1" si="101"/>
        <v>55091.666666666657</v>
      </c>
      <c r="AB188" s="55">
        <f t="shared" ca="1" si="101"/>
        <v>55091.666666666657</v>
      </c>
      <c r="AC188" s="55">
        <f t="shared" ca="1" si="101"/>
        <v>60674.999999999993</v>
      </c>
      <c r="AD188" s="55">
        <f t="shared" ca="1" si="101"/>
        <v>60091.666666666657</v>
      </c>
      <c r="AE188" s="55">
        <f t="shared" ca="1" si="101"/>
        <v>59341.666666666657</v>
      </c>
      <c r="AF188" s="55">
        <f t="shared" ca="1" si="101"/>
        <v>62258.333333333321</v>
      </c>
      <c r="AG188" s="55">
        <f t="shared" ca="1" si="101"/>
        <v>61149.999999999985</v>
      </c>
      <c r="AH188" s="55">
        <f t="shared" ca="1" si="101"/>
        <v>61874.999999999985</v>
      </c>
      <c r="AI188" s="55">
        <f t="shared" ca="1" si="101"/>
        <v>62749.999999999985</v>
      </c>
      <c r="AJ188" s="55">
        <f t="shared" ca="1" si="101"/>
        <v>61666.666666666657</v>
      </c>
      <c r="AK188" s="55">
        <f t="shared" ca="1" si="101"/>
        <v>62416.666666666657</v>
      </c>
      <c r="AL188" s="55">
        <f t="shared" ca="1" si="101"/>
        <v>65083.333333333328</v>
      </c>
      <c r="AM188" s="55">
        <f t="shared" ca="1" si="101"/>
        <v>63833.333333333328</v>
      </c>
      <c r="AN188" s="55">
        <f t="shared" ca="1" si="101"/>
        <v>62416.666666666657</v>
      </c>
      <c r="AO188" s="55">
        <f t="shared" ca="1" si="101"/>
        <v>64833.333333333328</v>
      </c>
      <c r="AP188" s="55">
        <f t="shared" ca="1" si="101"/>
        <v>63333.333333333328</v>
      </c>
      <c r="AQ188" s="55">
        <f t="shared" ca="1" si="101"/>
        <v>63833.333333333328</v>
      </c>
      <c r="AR188" s="55">
        <f t="shared" ca="1" si="101"/>
        <v>64333.333333333328</v>
      </c>
      <c r="AS188" s="55">
        <f t="shared" ca="1" si="101"/>
        <v>59000</v>
      </c>
      <c r="AT188" s="55">
        <f t="shared" ca="1" si="101"/>
        <v>53916.666666666657</v>
      </c>
      <c r="AU188" s="55">
        <f t="shared" ca="1" si="101"/>
        <v>49083.333333333314</v>
      </c>
      <c r="AV188" s="55">
        <f t="shared" ca="1" si="101"/>
        <v>44416.666666666657</v>
      </c>
      <c r="AW188" s="55">
        <f t="shared" ca="1" si="101"/>
        <v>40000</v>
      </c>
      <c r="AX188" s="55">
        <f t="shared" ca="1" si="101"/>
        <v>35833.333333333343</v>
      </c>
      <c r="AY188" s="55">
        <f t="shared" ca="1" si="101"/>
        <v>31833.333333333343</v>
      </c>
      <c r="AZ188" s="55">
        <f t="shared" ca="1" si="101"/>
        <v>28000</v>
      </c>
      <c r="BA188" s="55">
        <f t="shared" ca="1" si="101"/>
        <v>24583.333333333343</v>
      </c>
      <c r="BB188" s="55">
        <f t="shared" ca="1" si="101"/>
        <v>21333.333333333343</v>
      </c>
      <c r="BC188" s="55">
        <f t="shared" ca="1" si="101"/>
        <v>18250</v>
      </c>
      <c r="BD188" s="55">
        <f t="shared" ca="1" si="101"/>
        <v>15500</v>
      </c>
      <c r="BE188" s="55">
        <f t="shared" ca="1" si="101"/>
        <v>12916.666666666657</v>
      </c>
      <c r="BF188" s="55">
        <f t="shared" ca="1" si="101"/>
        <v>10583.333333333314</v>
      </c>
      <c r="BG188" s="55">
        <f t="shared" ca="1" si="101"/>
        <v>8499.9999999999709</v>
      </c>
      <c r="BH188" s="55">
        <f t="shared" ca="1" si="101"/>
        <v>6583.3333333333139</v>
      </c>
      <c r="BI188" s="55">
        <f t="shared" ca="1" si="101"/>
        <v>4916.666666666657</v>
      </c>
      <c r="BJ188" s="55">
        <f t="shared" ca="1" si="101"/>
        <v>3583.3333333333139</v>
      </c>
      <c r="BK188" s="55">
        <f t="shared" ca="1" si="101"/>
        <v>2416.666666666657</v>
      </c>
      <c r="BL188" s="55">
        <f t="shared" ca="1" si="101"/>
        <v>1416.666666666657</v>
      </c>
      <c r="BM188" s="55">
        <f t="shared" ca="1" si="101"/>
        <v>750</v>
      </c>
      <c r="BN188" s="55">
        <f t="shared" ca="1" si="101"/>
        <v>250</v>
      </c>
      <c r="BO188" s="55">
        <f t="shared" ca="1" si="101"/>
        <v>0</v>
      </c>
      <c r="BP188" s="55">
        <f t="shared" ca="1" si="101"/>
        <v>0</v>
      </c>
    </row>
    <row r="189" spans="4:68" x14ac:dyDescent="0.2">
      <c r="E189" s="1" t="s">
        <v>173</v>
      </c>
      <c r="I189" s="55">
        <f ca="1">SUM(I187:I188)</f>
        <v>803258.33333333337</v>
      </c>
      <c r="J189" s="55">
        <f t="shared" ref="J189:BP189" ca="1" si="102">SUM(J187:J188)</f>
        <v>805033.33333333337</v>
      </c>
      <c r="K189" s="55">
        <f t="shared" ca="1" si="102"/>
        <v>814008.33333333337</v>
      </c>
      <c r="L189" s="55">
        <f t="shared" ca="1" si="102"/>
        <v>818175</v>
      </c>
      <c r="M189" s="55">
        <f t="shared" ca="1" si="102"/>
        <v>819258.33333333337</v>
      </c>
      <c r="N189" s="55">
        <f t="shared" ca="1" si="102"/>
        <v>824091.66666666663</v>
      </c>
      <c r="O189" s="55">
        <f t="shared" ca="1" si="102"/>
        <v>828675</v>
      </c>
      <c r="P189" s="55">
        <f t="shared" ca="1" si="102"/>
        <v>827258.33333333337</v>
      </c>
      <c r="Q189" s="55">
        <f t="shared" ca="1" si="102"/>
        <v>829675</v>
      </c>
      <c r="R189" s="55">
        <f t="shared" ca="1" si="102"/>
        <v>833841.66666666663</v>
      </c>
      <c r="S189" s="55">
        <f t="shared" ca="1" si="102"/>
        <v>837758.33333333337</v>
      </c>
      <c r="T189" s="55">
        <f t="shared" ca="1" si="102"/>
        <v>841425</v>
      </c>
      <c r="U189" s="55">
        <f t="shared" ca="1" si="102"/>
        <v>842925</v>
      </c>
      <c r="V189" s="55">
        <f t="shared" ca="1" si="102"/>
        <v>846175</v>
      </c>
      <c r="W189" s="55">
        <f t="shared" ca="1" si="102"/>
        <v>849175</v>
      </c>
      <c r="X189" s="55">
        <f t="shared" ca="1" si="102"/>
        <v>850008.33333333337</v>
      </c>
      <c r="Y189" s="55">
        <f t="shared" ca="1" si="102"/>
        <v>852591.66666666663</v>
      </c>
      <c r="Z189" s="55">
        <f t="shared" ca="1" si="102"/>
        <v>854925</v>
      </c>
      <c r="AA189" s="55">
        <f t="shared" ca="1" si="102"/>
        <v>855091.66666666663</v>
      </c>
      <c r="AB189" s="55">
        <f t="shared" ca="1" si="102"/>
        <v>855091.66666666663</v>
      </c>
      <c r="AC189" s="55">
        <f t="shared" ca="1" si="102"/>
        <v>860675</v>
      </c>
      <c r="AD189" s="55">
        <f t="shared" ca="1" si="102"/>
        <v>860091.66666666663</v>
      </c>
      <c r="AE189" s="55">
        <f t="shared" ca="1" si="102"/>
        <v>859341.66666666663</v>
      </c>
      <c r="AF189" s="55">
        <f t="shared" ca="1" si="102"/>
        <v>862258.33333333337</v>
      </c>
      <c r="AG189" s="55">
        <f t="shared" ca="1" si="102"/>
        <v>861150</v>
      </c>
      <c r="AH189" s="55">
        <f t="shared" ca="1" si="102"/>
        <v>861875</v>
      </c>
      <c r="AI189" s="55">
        <f t="shared" ca="1" si="102"/>
        <v>862750</v>
      </c>
      <c r="AJ189" s="55">
        <f t="shared" ca="1" si="102"/>
        <v>861666.66666666663</v>
      </c>
      <c r="AK189" s="55">
        <f t="shared" ca="1" si="102"/>
        <v>862416.66666666663</v>
      </c>
      <c r="AL189" s="55">
        <f t="shared" ca="1" si="102"/>
        <v>865083.33333333337</v>
      </c>
      <c r="AM189" s="55">
        <f t="shared" ca="1" si="102"/>
        <v>863833.33333333337</v>
      </c>
      <c r="AN189" s="55">
        <f t="shared" ca="1" si="102"/>
        <v>862416.66666666663</v>
      </c>
      <c r="AO189" s="55">
        <f t="shared" ca="1" si="102"/>
        <v>864833.33333333337</v>
      </c>
      <c r="AP189" s="55">
        <f t="shared" ca="1" si="102"/>
        <v>863333.33333333337</v>
      </c>
      <c r="AQ189" s="55">
        <f t="shared" ca="1" si="102"/>
        <v>863833.33333333337</v>
      </c>
      <c r="AR189" s="55">
        <f t="shared" ca="1" si="102"/>
        <v>864333.33333333337</v>
      </c>
      <c r="AS189" s="55">
        <f t="shared" ca="1" si="102"/>
        <v>859000</v>
      </c>
      <c r="AT189" s="55">
        <f t="shared" ca="1" si="102"/>
        <v>853916.66666666663</v>
      </c>
      <c r="AU189" s="55">
        <f t="shared" ca="1" si="102"/>
        <v>849083.33333333326</v>
      </c>
      <c r="AV189" s="55">
        <f t="shared" ca="1" si="102"/>
        <v>844416.66666666663</v>
      </c>
      <c r="AW189" s="55">
        <f t="shared" ca="1" si="102"/>
        <v>840000</v>
      </c>
      <c r="AX189" s="55">
        <f t="shared" ca="1" si="102"/>
        <v>835833.33333333337</v>
      </c>
      <c r="AY189" s="55">
        <f t="shared" ca="1" si="102"/>
        <v>831833.33333333337</v>
      </c>
      <c r="AZ189" s="55">
        <f t="shared" ca="1" si="102"/>
        <v>828000</v>
      </c>
      <c r="BA189" s="55">
        <f t="shared" ca="1" si="102"/>
        <v>824583.33333333337</v>
      </c>
      <c r="BB189" s="55">
        <f t="shared" ca="1" si="102"/>
        <v>821333.33333333337</v>
      </c>
      <c r="BC189" s="55">
        <f t="shared" ca="1" si="102"/>
        <v>818250</v>
      </c>
      <c r="BD189" s="55">
        <f t="shared" ca="1" si="102"/>
        <v>815500</v>
      </c>
      <c r="BE189" s="55">
        <f t="shared" ca="1" si="102"/>
        <v>812916.66666666663</v>
      </c>
      <c r="BF189" s="55">
        <f t="shared" ca="1" si="102"/>
        <v>810583.33333333326</v>
      </c>
      <c r="BG189" s="55">
        <f t="shared" ca="1" si="102"/>
        <v>808500</v>
      </c>
      <c r="BH189" s="55">
        <f t="shared" ca="1" si="102"/>
        <v>806583.33333333326</v>
      </c>
      <c r="BI189" s="55">
        <f t="shared" ca="1" si="102"/>
        <v>804916.66666666663</v>
      </c>
      <c r="BJ189" s="55">
        <f t="shared" ca="1" si="102"/>
        <v>803583.33333333326</v>
      </c>
      <c r="BK189" s="55">
        <f t="shared" ca="1" si="102"/>
        <v>802416.66666666663</v>
      </c>
      <c r="BL189" s="55">
        <f t="shared" ca="1" si="102"/>
        <v>801416.66666666663</v>
      </c>
      <c r="BM189" s="55">
        <f t="shared" ca="1" si="102"/>
        <v>800750</v>
      </c>
      <c r="BN189" s="55">
        <f t="shared" ca="1" si="102"/>
        <v>800250</v>
      </c>
      <c r="BO189" s="55">
        <f t="shared" ca="1" si="102"/>
        <v>800000</v>
      </c>
      <c r="BP189" s="55">
        <f t="shared" ca="1" si="102"/>
        <v>800000</v>
      </c>
    </row>
    <row r="191" spans="4:68" x14ac:dyDescent="0.2">
      <c r="D191" s="1" t="s">
        <v>58</v>
      </c>
    </row>
    <row r="192" spans="4:68" x14ac:dyDescent="0.2">
      <c r="E192" s="1" t="s">
        <v>149</v>
      </c>
      <c r="I192" s="55">
        <f>H195</f>
        <v>0</v>
      </c>
      <c r="J192" s="55">
        <f t="shared" ref="J192:BP192" ca="1" si="103">I195</f>
        <v>1000000</v>
      </c>
      <c r="K192" s="55">
        <f t="shared" ca="1" si="103"/>
        <v>1000000</v>
      </c>
      <c r="L192" s="55">
        <f t="shared" ca="1" si="103"/>
        <v>1000000</v>
      </c>
      <c r="M192" s="55">
        <f t="shared" ca="1" si="103"/>
        <v>1000000</v>
      </c>
      <c r="N192" s="55">
        <f t="shared" ca="1" si="103"/>
        <v>1000000</v>
      </c>
      <c r="O192" s="55">
        <f t="shared" ca="1" si="103"/>
        <v>1000000</v>
      </c>
      <c r="P192" s="55">
        <f t="shared" ca="1" si="103"/>
        <v>1000000</v>
      </c>
      <c r="Q192" s="55">
        <f t="shared" ca="1" si="103"/>
        <v>1000000</v>
      </c>
      <c r="R192" s="55">
        <f t="shared" ca="1" si="103"/>
        <v>1000000</v>
      </c>
      <c r="S192" s="55">
        <f t="shared" ca="1" si="103"/>
        <v>1000000</v>
      </c>
      <c r="T192" s="55">
        <f t="shared" ca="1" si="103"/>
        <v>1000000</v>
      </c>
      <c r="U192" s="55">
        <f t="shared" ca="1" si="103"/>
        <v>1000000</v>
      </c>
      <c r="V192" s="55">
        <f t="shared" ca="1" si="103"/>
        <v>1000000</v>
      </c>
      <c r="W192" s="55">
        <f t="shared" ca="1" si="103"/>
        <v>1000000</v>
      </c>
      <c r="X192" s="55">
        <f t="shared" ca="1" si="103"/>
        <v>1000000</v>
      </c>
      <c r="Y192" s="55">
        <f t="shared" ca="1" si="103"/>
        <v>1000000</v>
      </c>
      <c r="Z192" s="55">
        <f t="shared" ca="1" si="103"/>
        <v>1000000</v>
      </c>
      <c r="AA192" s="55">
        <f t="shared" ca="1" si="103"/>
        <v>1000000</v>
      </c>
      <c r="AB192" s="55">
        <f t="shared" ca="1" si="103"/>
        <v>1000000</v>
      </c>
      <c r="AC192" s="55">
        <f t="shared" ca="1" si="103"/>
        <v>1000000</v>
      </c>
      <c r="AD192" s="55">
        <f t="shared" ca="1" si="103"/>
        <v>1000000</v>
      </c>
      <c r="AE192" s="55">
        <f t="shared" ca="1" si="103"/>
        <v>1000000</v>
      </c>
      <c r="AF192" s="55">
        <f t="shared" ca="1" si="103"/>
        <v>1000000</v>
      </c>
      <c r="AG192" s="55">
        <f t="shared" ca="1" si="103"/>
        <v>1000000</v>
      </c>
      <c r="AH192" s="55">
        <f t="shared" ca="1" si="103"/>
        <v>1000000</v>
      </c>
      <c r="AI192" s="55">
        <f t="shared" ca="1" si="103"/>
        <v>1000000</v>
      </c>
      <c r="AJ192" s="55">
        <f t="shared" ca="1" si="103"/>
        <v>1000000</v>
      </c>
      <c r="AK192" s="55">
        <f t="shared" ca="1" si="103"/>
        <v>1000000</v>
      </c>
      <c r="AL192" s="55">
        <f t="shared" ca="1" si="103"/>
        <v>1000000</v>
      </c>
      <c r="AM192" s="55">
        <f t="shared" ca="1" si="103"/>
        <v>1000000</v>
      </c>
      <c r="AN192" s="55">
        <f t="shared" ca="1" si="103"/>
        <v>1000000</v>
      </c>
      <c r="AO192" s="55">
        <f t="shared" ca="1" si="103"/>
        <v>1000000</v>
      </c>
      <c r="AP192" s="55">
        <f t="shared" ca="1" si="103"/>
        <v>1000000</v>
      </c>
      <c r="AQ192" s="55">
        <f t="shared" ca="1" si="103"/>
        <v>1000000</v>
      </c>
      <c r="AR192" s="55">
        <f t="shared" ca="1" si="103"/>
        <v>1000000</v>
      </c>
      <c r="AS192" s="55">
        <f t="shared" ca="1" si="103"/>
        <v>1000000</v>
      </c>
      <c r="AT192" s="55">
        <f t="shared" ca="1" si="103"/>
        <v>1000000</v>
      </c>
      <c r="AU192" s="55">
        <f t="shared" ca="1" si="103"/>
        <v>1000000</v>
      </c>
      <c r="AV192" s="55">
        <f t="shared" ca="1" si="103"/>
        <v>1000000</v>
      </c>
      <c r="AW192" s="55">
        <f t="shared" ca="1" si="103"/>
        <v>1000000</v>
      </c>
      <c r="AX192" s="55">
        <f t="shared" ca="1" si="103"/>
        <v>1000000</v>
      </c>
      <c r="AY192" s="55">
        <f t="shared" ca="1" si="103"/>
        <v>1000000</v>
      </c>
      <c r="AZ192" s="55">
        <f t="shared" ca="1" si="103"/>
        <v>1000000</v>
      </c>
      <c r="BA192" s="55">
        <f t="shared" ca="1" si="103"/>
        <v>1000000</v>
      </c>
      <c r="BB192" s="55">
        <f t="shared" ca="1" si="103"/>
        <v>1000000</v>
      </c>
      <c r="BC192" s="55">
        <f t="shared" ca="1" si="103"/>
        <v>1000000</v>
      </c>
      <c r="BD192" s="55">
        <f t="shared" ca="1" si="103"/>
        <v>1000000</v>
      </c>
      <c r="BE192" s="55">
        <f t="shared" ca="1" si="103"/>
        <v>1000000</v>
      </c>
      <c r="BF192" s="55">
        <f t="shared" ca="1" si="103"/>
        <v>1000000</v>
      </c>
      <c r="BG192" s="55">
        <f t="shared" ca="1" si="103"/>
        <v>1000000</v>
      </c>
      <c r="BH192" s="55">
        <f t="shared" ca="1" si="103"/>
        <v>1000000</v>
      </c>
      <c r="BI192" s="55">
        <f t="shared" ca="1" si="103"/>
        <v>1000000</v>
      </c>
      <c r="BJ192" s="55">
        <f t="shared" ca="1" si="103"/>
        <v>1000000</v>
      </c>
      <c r="BK192" s="55">
        <f t="shared" ca="1" si="103"/>
        <v>1000000</v>
      </c>
      <c r="BL192" s="55">
        <f t="shared" ca="1" si="103"/>
        <v>1000000</v>
      </c>
      <c r="BM192" s="55">
        <f t="shared" ca="1" si="103"/>
        <v>1000000</v>
      </c>
      <c r="BN192" s="55">
        <f t="shared" ca="1" si="103"/>
        <v>1000000</v>
      </c>
      <c r="BO192" s="55">
        <f t="shared" ca="1" si="103"/>
        <v>1000000</v>
      </c>
      <c r="BP192" s="55">
        <f t="shared" ca="1" si="103"/>
        <v>1000000</v>
      </c>
    </row>
    <row r="193" spans="1:68" x14ac:dyDescent="0.2">
      <c r="F193" s="1" t="s">
        <v>174</v>
      </c>
      <c r="I193" s="55">
        <f t="shared" ref="I193:AN193" ca="1" si="104">IF(I6=AssmEquityDate,AssmEquity,0)</f>
        <v>1000000</v>
      </c>
      <c r="J193" s="55">
        <f t="shared" ca="1" si="104"/>
        <v>0</v>
      </c>
      <c r="K193" s="55">
        <f t="shared" ca="1" si="104"/>
        <v>0</v>
      </c>
      <c r="L193" s="55">
        <f t="shared" ca="1" si="104"/>
        <v>0</v>
      </c>
      <c r="M193" s="55">
        <f t="shared" ca="1" si="104"/>
        <v>0</v>
      </c>
      <c r="N193" s="55">
        <f t="shared" ca="1" si="104"/>
        <v>0</v>
      </c>
      <c r="O193" s="55">
        <f t="shared" ca="1" si="104"/>
        <v>0</v>
      </c>
      <c r="P193" s="55">
        <f t="shared" ca="1" si="104"/>
        <v>0</v>
      </c>
      <c r="Q193" s="55">
        <f t="shared" ca="1" si="104"/>
        <v>0</v>
      </c>
      <c r="R193" s="55">
        <f t="shared" ca="1" si="104"/>
        <v>0</v>
      </c>
      <c r="S193" s="55">
        <f t="shared" ca="1" si="104"/>
        <v>0</v>
      </c>
      <c r="T193" s="55">
        <f t="shared" ca="1" si="104"/>
        <v>0</v>
      </c>
      <c r="U193" s="55">
        <f t="shared" ca="1" si="104"/>
        <v>0</v>
      </c>
      <c r="V193" s="55">
        <f t="shared" ca="1" si="104"/>
        <v>0</v>
      </c>
      <c r="W193" s="55">
        <f t="shared" ca="1" si="104"/>
        <v>0</v>
      </c>
      <c r="X193" s="55">
        <f t="shared" ca="1" si="104"/>
        <v>0</v>
      </c>
      <c r="Y193" s="55">
        <f t="shared" ca="1" si="104"/>
        <v>0</v>
      </c>
      <c r="Z193" s="55">
        <f t="shared" ca="1" si="104"/>
        <v>0</v>
      </c>
      <c r="AA193" s="55">
        <f t="shared" ca="1" si="104"/>
        <v>0</v>
      </c>
      <c r="AB193" s="55">
        <f t="shared" ca="1" si="104"/>
        <v>0</v>
      </c>
      <c r="AC193" s="55">
        <f t="shared" ca="1" si="104"/>
        <v>0</v>
      </c>
      <c r="AD193" s="55">
        <f t="shared" ca="1" si="104"/>
        <v>0</v>
      </c>
      <c r="AE193" s="55">
        <f t="shared" ca="1" si="104"/>
        <v>0</v>
      </c>
      <c r="AF193" s="55">
        <f t="shared" ca="1" si="104"/>
        <v>0</v>
      </c>
      <c r="AG193" s="55">
        <f t="shared" ca="1" si="104"/>
        <v>0</v>
      </c>
      <c r="AH193" s="55">
        <f t="shared" ca="1" si="104"/>
        <v>0</v>
      </c>
      <c r="AI193" s="55">
        <f t="shared" ca="1" si="104"/>
        <v>0</v>
      </c>
      <c r="AJ193" s="55">
        <f t="shared" ca="1" si="104"/>
        <v>0</v>
      </c>
      <c r="AK193" s="55">
        <f t="shared" ca="1" si="104"/>
        <v>0</v>
      </c>
      <c r="AL193" s="55">
        <f t="shared" ca="1" si="104"/>
        <v>0</v>
      </c>
      <c r="AM193" s="55">
        <f t="shared" ca="1" si="104"/>
        <v>0</v>
      </c>
      <c r="AN193" s="55">
        <f t="shared" ca="1" si="104"/>
        <v>0</v>
      </c>
      <c r="AO193" s="55">
        <f t="shared" ref="AO193:BP193" ca="1" si="105">IF(AO6=AssmEquityDate,AssmEquity,0)</f>
        <v>0</v>
      </c>
      <c r="AP193" s="55">
        <f t="shared" ca="1" si="105"/>
        <v>0</v>
      </c>
      <c r="AQ193" s="55">
        <f t="shared" ca="1" si="105"/>
        <v>0</v>
      </c>
      <c r="AR193" s="55">
        <f t="shared" ca="1" si="105"/>
        <v>0</v>
      </c>
      <c r="AS193" s="55">
        <f t="shared" ca="1" si="105"/>
        <v>0</v>
      </c>
      <c r="AT193" s="55">
        <f t="shared" ca="1" si="105"/>
        <v>0</v>
      </c>
      <c r="AU193" s="55">
        <f t="shared" ca="1" si="105"/>
        <v>0</v>
      </c>
      <c r="AV193" s="55">
        <f t="shared" ca="1" si="105"/>
        <v>0</v>
      </c>
      <c r="AW193" s="55">
        <f t="shared" ca="1" si="105"/>
        <v>0</v>
      </c>
      <c r="AX193" s="55">
        <f t="shared" ca="1" si="105"/>
        <v>0</v>
      </c>
      <c r="AY193" s="55">
        <f t="shared" ca="1" si="105"/>
        <v>0</v>
      </c>
      <c r="AZ193" s="55">
        <f t="shared" ca="1" si="105"/>
        <v>0</v>
      </c>
      <c r="BA193" s="55">
        <f t="shared" ca="1" si="105"/>
        <v>0</v>
      </c>
      <c r="BB193" s="55">
        <f t="shared" ca="1" si="105"/>
        <v>0</v>
      </c>
      <c r="BC193" s="55">
        <f t="shared" ca="1" si="105"/>
        <v>0</v>
      </c>
      <c r="BD193" s="55">
        <f t="shared" ca="1" si="105"/>
        <v>0</v>
      </c>
      <c r="BE193" s="55">
        <f t="shared" ca="1" si="105"/>
        <v>0</v>
      </c>
      <c r="BF193" s="55">
        <f t="shared" ca="1" si="105"/>
        <v>0</v>
      </c>
      <c r="BG193" s="55">
        <f t="shared" ca="1" si="105"/>
        <v>0</v>
      </c>
      <c r="BH193" s="55">
        <f t="shared" ca="1" si="105"/>
        <v>0</v>
      </c>
      <c r="BI193" s="55">
        <f t="shared" ca="1" si="105"/>
        <v>0</v>
      </c>
      <c r="BJ193" s="55">
        <f t="shared" ca="1" si="105"/>
        <v>0</v>
      </c>
      <c r="BK193" s="55">
        <f t="shared" ca="1" si="105"/>
        <v>0</v>
      </c>
      <c r="BL193" s="55">
        <f t="shared" ca="1" si="105"/>
        <v>0</v>
      </c>
      <c r="BM193" s="55">
        <f t="shared" ca="1" si="105"/>
        <v>0</v>
      </c>
      <c r="BN193" s="55">
        <f t="shared" ca="1" si="105"/>
        <v>0</v>
      </c>
      <c r="BO193" s="55">
        <f t="shared" ca="1" si="105"/>
        <v>0</v>
      </c>
      <c r="BP193" s="55">
        <f t="shared" ca="1" si="105"/>
        <v>0</v>
      </c>
    </row>
    <row r="194" spans="1:68" x14ac:dyDescent="0.2">
      <c r="F194" s="1" t="s">
        <v>175</v>
      </c>
      <c r="I194" s="55"/>
      <c r="J194" s="55"/>
      <c r="K194" s="55"/>
      <c r="L194" s="55"/>
      <c r="M194" s="55"/>
      <c r="N194" s="55"/>
      <c r="O194" s="55"/>
      <c r="P194" s="55"/>
      <c r="Q194" s="55"/>
      <c r="R194" s="55"/>
      <c r="S194" s="55"/>
      <c r="T194" s="55"/>
      <c r="U194" s="55"/>
      <c r="V194" s="55"/>
      <c r="W194" s="55"/>
      <c r="X194" s="55"/>
      <c r="Y194" s="55"/>
      <c r="Z194" s="55"/>
      <c r="AA194" s="55"/>
      <c r="AB194" s="55"/>
      <c r="AC194" s="55"/>
      <c r="AD194" s="55"/>
      <c r="AE194" s="55"/>
      <c r="AF194" s="55"/>
      <c r="AG194" s="55"/>
      <c r="AH194" s="55"/>
      <c r="AI194" s="55"/>
      <c r="AJ194" s="55"/>
      <c r="AK194" s="55"/>
      <c r="AL194" s="55"/>
      <c r="AM194" s="55"/>
      <c r="AN194" s="55"/>
      <c r="AO194" s="55"/>
      <c r="AP194" s="55"/>
      <c r="AQ194" s="55"/>
      <c r="AR194" s="55"/>
      <c r="AS194" s="55"/>
      <c r="AT194" s="55"/>
      <c r="AU194" s="55"/>
      <c r="AV194" s="55"/>
      <c r="AW194" s="55"/>
      <c r="AX194" s="55"/>
      <c r="AY194" s="55"/>
      <c r="AZ194" s="55"/>
      <c r="BA194" s="55"/>
      <c r="BB194" s="55"/>
      <c r="BC194" s="55"/>
      <c r="BD194" s="55"/>
      <c r="BE194" s="55"/>
      <c r="BF194" s="55"/>
      <c r="BG194" s="55"/>
      <c r="BH194" s="55"/>
      <c r="BI194" s="55"/>
      <c r="BJ194" s="55"/>
      <c r="BK194" s="55"/>
      <c r="BL194" s="55"/>
      <c r="BM194" s="55"/>
      <c r="BN194" s="55"/>
      <c r="BO194" s="55"/>
      <c r="BP194" s="55"/>
    </row>
    <row r="195" spans="1:68" x14ac:dyDescent="0.2">
      <c r="E195" s="1" t="s">
        <v>153</v>
      </c>
      <c r="I195" s="59">
        <f ca="1">SUM(I192:I194)</f>
        <v>1000000</v>
      </c>
      <c r="J195" s="59">
        <f t="shared" ref="J195:BP195" ca="1" si="106">SUM(J192:J194)</f>
        <v>1000000</v>
      </c>
      <c r="K195" s="59">
        <f t="shared" ca="1" si="106"/>
        <v>1000000</v>
      </c>
      <c r="L195" s="59">
        <f t="shared" ca="1" si="106"/>
        <v>1000000</v>
      </c>
      <c r="M195" s="59">
        <f t="shared" ca="1" si="106"/>
        <v>1000000</v>
      </c>
      <c r="N195" s="59">
        <f t="shared" ca="1" si="106"/>
        <v>1000000</v>
      </c>
      <c r="O195" s="59">
        <f t="shared" ca="1" si="106"/>
        <v>1000000</v>
      </c>
      <c r="P195" s="59">
        <f t="shared" ca="1" si="106"/>
        <v>1000000</v>
      </c>
      <c r="Q195" s="59">
        <f t="shared" ca="1" si="106"/>
        <v>1000000</v>
      </c>
      <c r="R195" s="59">
        <f t="shared" ca="1" si="106"/>
        <v>1000000</v>
      </c>
      <c r="S195" s="59">
        <f t="shared" ca="1" si="106"/>
        <v>1000000</v>
      </c>
      <c r="T195" s="59">
        <f t="shared" ca="1" si="106"/>
        <v>1000000</v>
      </c>
      <c r="U195" s="59">
        <f t="shared" ca="1" si="106"/>
        <v>1000000</v>
      </c>
      <c r="V195" s="59">
        <f t="shared" ca="1" si="106"/>
        <v>1000000</v>
      </c>
      <c r="W195" s="59">
        <f t="shared" ca="1" si="106"/>
        <v>1000000</v>
      </c>
      <c r="X195" s="59">
        <f t="shared" ca="1" si="106"/>
        <v>1000000</v>
      </c>
      <c r="Y195" s="59">
        <f t="shared" ca="1" si="106"/>
        <v>1000000</v>
      </c>
      <c r="Z195" s="59">
        <f t="shared" ca="1" si="106"/>
        <v>1000000</v>
      </c>
      <c r="AA195" s="59">
        <f t="shared" ca="1" si="106"/>
        <v>1000000</v>
      </c>
      <c r="AB195" s="59">
        <f t="shared" ca="1" si="106"/>
        <v>1000000</v>
      </c>
      <c r="AC195" s="59">
        <f t="shared" ca="1" si="106"/>
        <v>1000000</v>
      </c>
      <c r="AD195" s="59">
        <f t="shared" ca="1" si="106"/>
        <v>1000000</v>
      </c>
      <c r="AE195" s="59">
        <f t="shared" ca="1" si="106"/>
        <v>1000000</v>
      </c>
      <c r="AF195" s="59">
        <f t="shared" ca="1" si="106"/>
        <v>1000000</v>
      </c>
      <c r="AG195" s="59">
        <f t="shared" ca="1" si="106"/>
        <v>1000000</v>
      </c>
      <c r="AH195" s="59">
        <f t="shared" ca="1" si="106"/>
        <v>1000000</v>
      </c>
      <c r="AI195" s="59">
        <f t="shared" ca="1" si="106"/>
        <v>1000000</v>
      </c>
      <c r="AJ195" s="59">
        <f t="shared" ca="1" si="106"/>
        <v>1000000</v>
      </c>
      <c r="AK195" s="59">
        <f t="shared" ca="1" si="106"/>
        <v>1000000</v>
      </c>
      <c r="AL195" s="59">
        <f t="shared" ca="1" si="106"/>
        <v>1000000</v>
      </c>
      <c r="AM195" s="59">
        <f t="shared" ca="1" si="106"/>
        <v>1000000</v>
      </c>
      <c r="AN195" s="59">
        <f t="shared" ca="1" si="106"/>
        <v>1000000</v>
      </c>
      <c r="AO195" s="59">
        <f t="shared" ca="1" si="106"/>
        <v>1000000</v>
      </c>
      <c r="AP195" s="59">
        <f t="shared" ca="1" si="106"/>
        <v>1000000</v>
      </c>
      <c r="AQ195" s="59">
        <f t="shared" ca="1" si="106"/>
        <v>1000000</v>
      </c>
      <c r="AR195" s="59">
        <f t="shared" ca="1" si="106"/>
        <v>1000000</v>
      </c>
      <c r="AS195" s="59">
        <f t="shared" ca="1" si="106"/>
        <v>1000000</v>
      </c>
      <c r="AT195" s="59">
        <f t="shared" ca="1" si="106"/>
        <v>1000000</v>
      </c>
      <c r="AU195" s="59">
        <f t="shared" ca="1" si="106"/>
        <v>1000000</v>
      </c>
      <c r="AV195" s="59">
        <f t="shared" ca="1" si="106"/>
        <v>1000000</v>
      </c>
      <c r="AW195" s="59">
        <f t="shared" ca="1" si="106"/>
        <v>1000000</v>
      </c>
      <c r="AX195" s="59">
        <f t="shared" ca="1" si="106"/>
        <v>1000000</v>
      </c>
      <c r="AY195" s="59">
        <f t="shared" ca="1" si="106"/>
        <v>1000000</v>
      </c>
      <c r="AZ195" s="59">
        <f t="shared" ca="1" si="106"/>
        <v>1000000</v>
      </c>
      <c r="BA195" s="59">
        <f t="shared" ca="1" si="106"/>
        <v>1000000</v>
      </c>
      <c r="BB195" s="59">
        <f t="shared" ca="1" si="106"/>
        <v>1000000</v>
      </c>
      <c r="BC195" s="59">
        <f t="shared" ca="1" si="106"/>
        <v>1000000</v>
      </c>
      <c r="BD195" s="59">
        <f t="shared" ca="1" si="106"/>
        <v>1000000</v>
      </c>
      <c r="BE195" s="59">
        <f t="shared" ca="1" si="106"/>
        <v>1000000</v>
      </c>
      <c r="BF195" s="59">
        <f t="shared" ca="1" si="106"/>
        <v>1000000</v>
      </c>
      <c r="BG195" s="59">
        <f t="shared" ca="1" si="106"/>
        <v>1000000</v>
      </c>
      <c r="BH195" s="59">
        <f t="shared" ca="1" si="106"/>
        <v>1000000</v>
      </c>
      <c r="BI195" s="59">
        <f t="shared" ca="1" si="106"/>
        <v>1000000</v>
      </c>
      <c r="BJ195" s="59">
        <f t="shared" ca="1" si="106"/>
        <v>1000000</v>
      </c>
      <c r="BK195" s="59">
        <f t="shared" ca="1" si="106"/>
        <v>1000000</v>
      </c>
      <c r="BL195" s="59">
        <f t="shared" ca="1" si="106"/>
        <v>1000000</v>
      </c>
      <c r="BM195" s="59">
        <f t="shared" ca="1" si="106"/>
        <v>1000000</v>
      </c>
      <c r="BN195" s="59">
        <f t="shared" ca="1" si="106"/>
        <v>1000000</v>
      </c>
      <c r="BO195" s="59">
        <f t="shared" ca="1" si="106"/>
        <v>1000000</v>
      </c>
      <c r="BP195" s="59">
        <f t="shared" ca="1" si="106"/>
        <v>1000000</v>
      </c>
    </row>
    <row r="197" spans="1:68" x14ac:dyDescent="0.2">
      <c r="D197" s="1" t="s">
        <v>176</v>
      </c>
    </row>
    <row r="198" spans="1:68" x14ac:dyDescent="0.2">
      <c r="E198" s="1" t="s">
        <v>149</v>
      </c>
      <c r="I198" s="55">
        <f>H201</f>
        <v>0</v>
      </c>
      <c r="J198" s="55">
        <f t="shared" ref="J198:BP198" ca="1" si="107">I201</f>
        <v>-19661.657609166668</v>
      </c>
      <c r="K198" s="55">
        <f t="shared" ca="1" si="107"/>
        <v>-50781.895250665628</v>
      </c>
      <c r="L198" s="55">
        <f t="shared" ca="1" si="107"/>
        <v>-123036.2684818134</v>
      </c>
      <c r="M198" s="55">
        <f t="shared" ca="1" si="107"/>
        <v>-219573.83858510744</v>
      </c>
      <c r="N198" s="55">
        <f t="shared" ca="1" si="107"/>
        <v>-324459.82534596382</v>
      </c>
      <c r="O198" s="55">
        <f t="shared" ca="1" si="107"/>
        <v>-454820.94282880868</v>
      </c>
      <c r="P198" s="55">
        <f t="shared" ca="1" si="107"/>
        <v>-611250.4274371994</v>
      </c>
      <c r="Q198" s="55">
        <f t="shared" ca="1" si="107"/>
        <v>-765759.51585749164</v>
      </c>
      <c r="R198" s="55">
        <f t="shared" ca="1" si="107"/>
        <v>-936902.98786819808</v>
      </c>
      <c r="S198" s="55">
        <f t="shared" ca="1" si="107"/>
        <v>-1133916.6393222862</v>
      </c>
      <c r="T198" s="55">
        <f t="shared" ca="1" si="107"/>
        <v>-1351121.2039781974</v>
      </c>
      <c r="U198" s="55">
        <f t="shared" ca="1" si="107"/>
        <v>-1587964.9550226186</v>
      </c>
      <c r="V198" s="55">
        <f t="shared" ca="1" si="107"/>
        <v>-1836847.5575313289</v>
      </c>
      <c r="W198" s="55">
        <f t="shared" ca="1" si="107"/>
        <v>-2104544.5084293312</v>
      </c>
      <c r="X198" s="55">
        <f t="shared" ca="1" si="107"/>
        <v>-2384086.7031142237</v>
      </c>
      <c r="Y198" s="55">
        <f t="shared" ca="1" si="107"/>
        <v>-2664737.6034261342</v>
      </c>
      <c r="Z198" s="55">
        <f t="shared" ca="1" si="107"/>
        <v>-2950930.0035806485</v>
      </c>
      <c r="AA198" s="55">
        <f t="shared" ca="1" si="107"/>
        <v>-3231679.5118928128</v>
      </c>
      <c r="AB198" s="55">
        <f t="shared" ca="1" si="107"/>
        <v>-3491019.0701203593</v>
      </c>
      <c r="AC198" s="55">
        <f t="shared" ca="1" si="107"/>
        <v>-3716503.7330786469</v>
      </c>
      <c r="AD198" s="55">
        <f t="shared" ca="1" si="107"/>
        <v>-3914906.5616131173</v>
      </c>
      <c r="AE198" s="55">
        <f t="shared" ca="1" si="107"/>
        <v>-4042359.9394697472</v>
      </c>
      <c r="AF198" s="55">
        <f t="shared" ca="1" si="107"/>
        <v>-4071546.7664952883</v>
      </c>
      <c r="AG198" s="55">
        <f t="shared" ca="1" si="107"/>
        <v>-3981683.2011689479</v>
      </c>
      <c r="AH198" s="55">
        <f t="shared" ca="1" si="107"/>
        <v>-3358888.2219920317</v>
      </c>
      <c r="AI198" s="55">
        <f t="shared" ca="1" si="107"/>
        <v>-2643509.2163425013</v>
      </c>
      <c r="AJ198" s="55">
        <f t="shared" ca="1" si="107"/>
        <v>-1819253.6542366282</v>
      </c>
      <c r="AK198" s="55">
        <f t="shared" ca="1" si="107"/>
        <v>-866316.45688803447</v>
      </c>
      <c r="AL198" s="55">
        <f t="shared" ca="1" si="107"/>
        <v>156378.46630054491</v>
      </c>
      <c r="AM198" s="55">
        <f t="shared" ca="1" si="107"/>
        <v>1019129.7209006689</v>
      </c>
      <c r="AN198" s="55">
        <f t="shared" ca="1" si="107"/>
        <v>2005572.0199109316</v>
      </c>
      <c r="AO198" s="55">
        <f t="shared" ca="1" si="107"/>
        <v>3128844.2582396204</v>
      </c>
      <c r="AP198" s="55">
        <f t="shared" ca="1" si="107"/>
        <v>4392241.2052935343</v>
      </c>
      <c r="AQ198" s="55">
        <f t="shared" ca="1" si="107"/>
        <v>5823880.3687174879</v>
      </c>
      <c r="AR198" s="55">
        <f t="shared" ca="1" si="107"/>
        <v>7434604.493453566</v>
      </c>
      <c r="AS198" s="55">
        <f t="shared" ca="1" si="107"/>
        <v>9246724.3440270815</v>
      </c>
      <c r="AT198" s="55">
        <f t="shared" ca="1" si="107"/>
        <v>11300758.485227002</v>
      </c>
      <c r="AU198" s="55">
        <f t="shared" ca="1" si="107"/>
        <v>13621425.836761903</v>
      </c>
      <c r="AV198" s="55">
        <f t="shared" ca="1" si="107"/>
        <v>16235239.764231941</v>
      </c>
      <c r="AW198" s="55">
        <f t="shared" ca="1" si="107"/>
        <v>19171307.639292043</v>
      </c>
      <c r="AX198" s="55">
        <f t="shared" ca="1" si="107"/>
        <v>22461635.58424649</v>
      </c>
      <c r="AY198" s="55">
        <f t="shared" ca="1" si="107"/>
        <v>26141406.734312326</v>
      </c>
      <c r="AZ198" s="55">
        <f t="shared" ca="1" si="107"/>
        <v>30249234.912023727</v>
      </c>
      <c r="BA198" s="55">
        <f t="shared" ca="1" si="107"/>
        <v>34827607.353352137</v>
      </c>
      <c r="BB198" s="55">
        <f t="shared" ca="1" si="107"/>
        <v>39923404.068847477</v>
      </c>
      <c r="BC198" s="55">
        <f t="shared" ca="1" si="107"/>
        <v>45587776.211671345</v>
      </c>
      <c r="BD198" s="55">
        <f t="shared" ca="1" si="107"/>
        <v>51877136.218403772</v>
      </c>
      <c r="BE198" s="55">
        <f t="shared" ca="1" si="107"/>
        <v>58853580.725139707</v>
      </c>
      <c r="BF198" s="55">
        <f t="shared" ca="1" si="107"/>
        <v>68230839.330969065</v>
      </c>
      <c r="BG198" s="55">
        <f t="shared" ca="1" si="107"/>
        <v>78603613.206701651</v>
      </c>
      <c r="BH198" s="55">
        <f t="shared" ca="1" si="107"/>
        <v>90070616.178442165</v>
      </c>
      <c r="BI198" s="55">
        <f t="shared" ca="1" si="107"/>
        <v>102740783.55936763</v>
      </c>
      <c r="BJ198" s="55">
        <f t="shared" ca="1" si="107"/>
        <v>116733685.21515127</v>
      </c>
      <c r="BK198" s="55">
        <f t="shared" ca="1" si="107"/>
        <v>132180456.31873533</v>
      </c>
      <c r="BL198" s="55">
        <f t="shared" ca="1" si="107"/>
        <v>149225027.28928402</v>
      </c>
      <c r="BM198" s="55">
        <f t="shared" ca="1" si="107"/>
        <v>168025717.8910768</v>
      </c>
      <c r="BN198" s="55">
        <f t="shared" ca="1" si="107"/>
        <v>188756615.00794426</v>
      </c>
      <c r="BO198" s="55">
        <f t="shared" ca="1" si="107"/>
        <v>211608803.65683144</v>
      </c>
      <c r="BP198" s="55">
        <f t="shared" ca="1" si="107"/>
        <v>236792487.25493804</v>
      </c>
    </row>
    <row r="199" spans="1:68" x14ac:dyDescent="0.2">
      <c r="F199" s="1" t="s">
        <v>177</v>
      </c>
      <c r="I199" s="55">
        <f ca="1">I92</f>
        <v>-19661.657609166668</v>
      </c>
      <c r="J199" s="55">
        <f t="shared" ref="J199:BP199" ca="1" si="108">J92</f>
        <v>-31120.237641498959</v>
      </c>
      <c r="K199" s="55">
        <f t="shared" ca="1" si="108"/>
        <v>-72254.373231147765</v>
      </c>
      <c r="L199" s="55">
        <f t="shared" ca="1" si="108"/>
        <v>-96537.570103294041</v>
      </c>
      <c r="M199" s="55">
        <f t="shared" ca="1" si="108"/>
        <v>-104885.98676085637</v>
      </c>
      <c r="N199" s="55">
        <f t="shared" ca="1" si="108"/>
        <v>-130361.11748284487</v>
      </c>
      <c r="O199" s="55">
        <f t="shared" ca="1" si="108"/>
        <v>-156429.48460839072</v>
      </c>
      <c r="P199" s="55">
        <f t="shared" ca="1" si="108"/>
        <v>-154509.08842029222</v>
      </c>
      <c r="Q199" s="55">
        <f t="shared" ca="1" si="108"/>
        <v>-171143.47201070641</v>
      </c>
      <c r="R199" s="55">
        <f t="shared" ca="1" si="108"/>
        <v>-197013.6514540881</v>
      </c>
      <c r="S199" s="55">
        <f t="shared" ca="1" si="108"/>
        <v>-217204.56465591124</v>
      </c>
      <c r="T199" s="55">
        <f t="shared" ca="1" si="108"/>
        <v>-236843.75104442114</v>
      </c>
      <c r="U199" s="55">
        <f t="shared" ca="1" si="108"/>
        <v>-248882.60250871026</v>
      </c>
      <c r="V199" s="55">
        <f t="shared" ca="1" si="108"/>
        <v>-267696.95089800231</v>
      </c>
      <c r="W199" s="55">
        <f t="shared" ca="1" si="108"/>
        <v>-279542.19468489231</v>
      </c>
      <c r="X199" s="55">
        <f t="shared" ca="1" si="108"/>
        <v>-280650.90031191061</v>
      </c>
      <c r="Y199" s="55">
        <f t="shared" ca="1" si="108"/>
        <v>-286192.40015451418</v>
      </c>
      <c r="Z199" s="55">
        <f t="shared" ca="1" si="108"/>
        <v>-280749.50831216446</v>
      </c>
      <c r="AA199" s="55">
        <f t="shared" ca="1" si="108"/>
        <v>-259339.55822754651</v>
      </c>
      <c r="AB199" s="55">
        <f t="shared" ca="1" si="108"/>
        <v>-225484.66295828784</v>
      </c>
      <c r="AC199" s="55">
        <f t="shared" ca="1" si="108"/>
        <v>-198402.82853447035</v>
      </c>
      <c r="AD199" s="55">
        <f t="shared" ca="1" si="108"/>
        <v>-127453.37785663003</v>
      </c>
      <c r="AE199" s="55">
        <f t="shared" ca="1" si="108"/>
        <v>-29186.827025541294</v>
      </c>
      <c r="AF199" s="55">
        <f t="shared" ca="1" si="108"/>
        <v>89863.565326340482</v>
      </c>
      <c r="AG199" s="55">
        <f t="shared" ca="1" si="108"/>
        <v>622794.97917691607</v>
      </c>
      <c r="AH199" s="55">
        <f t="shared" ca="1" si="108"/>
        <v>715379.00564953021</v>
      </c>
      <c r="AI199" s="55">
        <f t="shared" ca="1" si="108"/>
        <v>824255.56210587313</v>
      </c>
      <c r="AJ199" s="55">
        <f t="shared" ca="1" si="108"/>
        <v>952937.19734859373</v>
      </c>
      <c r="AK199" s="55">
        <f t="shared" ca="1" si="108"/>
        <v>1022694.9231885794</v>
      </c>
      <c r="AL199" s="55">
        <f t="shared" ca="1" si="108"/>
        <v>862751.25460012397</v>
      </c>
      <c r="AM199" s="55">
        <f t="shared" ca="1" si="108"/>
        <v>986442.29901026271</v>
      </c>
      <c r="AN199" s="55">
        <f t="shared" ca="1" si="108"/>
        <v>1123272.238328689</v>
      </c>
      <c r="AO199" s="55">
        <f t="shared" ca="1" si="108"/>
        <v>1263396.947053914</v>
      </c>
      <c r="AP199" s="55">
        <f t="shared" ca="1" si="108"/>
        <v>1431639.1634239536</v>
      </c>
      <c r="AQ199" s="55">
        <f t="shared" ca="1" si="108"/>
        <v>1610724.1247360776</v>
      </c>
      <c r="AR199" s="55">
        <f t="shared" ca="1" si="108"/>
        <v>1812119.8505735151</v>
      </c>
      <c r="AS199" s="55">
        <f t="shared" ca="1" si="108"/>
        <v>2054034.1411999203</v>
      </c>
      <c r="AT199" s="55">
        <f t="shared" ca="1" si="108"/>
        <v>2320667.3515349012</v>
      </c>
      <c r="AU199" s="55">
        <f t="shared" ca="1" si="108"/>
        <v>2613813.9274700377</v>
      </c>
      <c r="AV199" s="55">
        <f t="shared" ca="1" si="108"/>
        <v>2936067.875060102</v>
      </c>
      <c r="AW199" s="55">
        <f t="shared" ca="1" si="108"/>
        <v>3290327.9449544484</v>
      </c>
      <c r="AX199" s="55">
        <f t="shared" ca="1" si="108"/>
        <v>3679771.1500658374</v>
      </c>
      <c r="AY199" s="55">
        <f t="shared" ca="1" si="108"/>
        <v>4107828.1777114021</v>
      </c>
      <c r="AZ199" s="55">
        <f t="shared" ca="1" si="108"/>
        <v>4578372.4413284082</v>
      </c>
      <c r="BA199" s="55">
        <f t="shared" ca="1" si="108"/>
        <v>5095796.7154953405</v>
      </c>
      <c r="BB199" s="55">
        <f t="shared" ca="1" si="108"/>
        <v>5664372.1428238703</v>
      </c>
      <c r="BC199" s="55">
        <f t="shared" ca="1" si="108"/>
        <v>6289360.0067324247</v>
      </c>
      <c r="BD199" s="55">
        <f t="shared" ca="1" si="108"/>
        <v>6976444.5067359358</v>
      </c>
      <c r="BE199" s="55">
        <f t="shared" ca="1" si="108"/>
        <v>9377258.6058293562</v>
      </c>
      <c r="BF199" s="55">
        <f t="shared" ca="1" si="108"/>
        <v>10372773.875732582</v>
      </c>
      <c r="BG199" s="55">
        <f t="shared" ca="1" si="108"/>
        <v>11467002.97174051</v>
      </c>
      <c r="BH199" s="55">
        <f t="shared" ca="1" si="108"/>
        <v>12670167.380925456</v>
      </c>
      <c r="BI199" s="55">
        <f t="shared" ca="1" si="108"/>
        <v>13992901.655783642</v>
      </c>
      <c r="BJ199" s="55">
        <f t="shared" ca="1" si="108"/>
        <v>15446771.103584062</v>
      </c>
      <c r="BK199" s="55">
        <f t="shared" ca="1" si="108"/>
        <v>17044570.970548682</v>
      </c>
      <c r="BL199" s="55">
        <f t="shared" ca="1" si="108"/>
        <v>18800690.601792794</v>
      </c>
      <c r="BM199" s="55">
        <f t="shared" ca="1" si="108"/>
        <v>20730897.116867453</v>
      </c>
      <c r="BN199" s="55">
        <f t="shared" ca="1" si="108"/>
        <v>22852188.64888718</v>
      </c>
      <c r="BO199" s="55">
        <f t="shared" ca="1" si="108"/>
        <v>25183683.598106585</v>
      </c>
      <c r="BP199" s="55">
        <f t="shared" ca="1" si="108"/>
        <v>27746128.20392517</v>
      </c>
    </row>
    <row r="200" spans="1:68" x14ac:dyDescent="0.2">
      <c r="F200" s="1" t="s">
        <v>178</v>
      </c>
      <c r="I200" s="55"/>
      <c r="J200" s="55"/>
      <c r="K200" s="55"/>
      <c r="L200" s="55"/>
      <c r="M200" s="55"/>
      <c r="N200" s="55"/>
      <c r="O200" s="55"/>
      <c r="P200" s="55"/>
      <c r="Q200" s="55"/>
      <c r="R200" s="55"/>
      <c r="S200" s="55"/>
      <c r="T200" s="55"/>
      <c r="U200" s="55"/>
      <c r="V200" s="55"/>
      <c r="W200" s="55"/>
      <c r="X200" s="55"/>
      <c r="Y200" s="55"/>
      <c r="Z200" s="55"/>
      <c r="AA200" s="55"/>
      <c r="AB200" s="55"/>
      <c r="AC200" s="55"/>
      <c r="AD200" s="55"/>
      <c r="AE200" s="55"/>
      <c r="AF200" s="55"/>
      <c r="AG200" s="55"/>
      <c r="AH200" s="55"/>
      <c r="AI200" s="55"/>
      <c r="AJ200" s="55"/>
      <c r="AK200" s="55"/>
      <c r="AL200" s="55"/>
      <c r="AM200" s="55"/>
      <c r="AN200" s="55"/>
      <c r="AO200" s="55"/>
      <c r="AP200" s="55"/>
      <c r="AQ200" s="55"/>
      <c r="AR200" s="55"/>
      <c r="AS200" s="55"/>
      <c r="AT200" s="55"/>
      <c r="AU200" s="55"/>
      <c r="AV200" s="55"/>
      <c r="AW200" s="55"/>
      <c r="AX200" s="55"/>
      <c r="AY200" s="55"/>
      <c r="AZ200" s="55"/>
      <c r="BA200" s="55"/>
      <c r="BB200" s="55"/>
      <c r="BC200" s="55"/>
      <c r="BD200" s="55"/>
      <c r="BE200" s="55"/>
      <c r="BF200" s="55"/>
      <c r="BG200" s="55"/>
      <c r="BH200" s="55"/>
      <c r="BI200" s="55"/>
      <c r="BJ200" s="55"/>
      <c r="BK200" s="55"/>
      <c r="BL200" s="55"/>
      <c r="BM200" s="55"/>
      <c r="BN200" s="55"/>
      <c r="BO200" s="55"/>
      <c r="BP200" s="55"/>
    </row>
    <row r="201" spans="1:68" x14ac:dyDescent="0.2">
      <c r="E201" s="1" t="s">
        <v>153</v>
      </c>
      <c r="I201" s="59">
        <f ca="1">SUM(I198:I200)</f>
        <v>-19661.657609166668</v>
      </c>
      <c r="J201" s="59">
        <f t="shared" ref="J201:BP201" ca="1" si="109">SUM(J198:J200)</f>
        <v>-50781.895250665628</v>
      </c>
      <c r="K201" s="59">
        <f t="shared" ca="1" si="109"/>
        <v>-123036.2684818134</v>
      </c>
      <c r="L201" s="59">
        <f t="shared" ca="1" si="109"/>
        <v>-219573.83858510744</v>
      </c>
      <c r="M201" s="59">
        <f t="shared" ca="1" si="109"/>
        <v>-324459.82534596382</v>
      </c>
      <c r="N201" s="59">
        <f t="shared" ca="1" si="109"/>
        <v>-454820.94282880868</v>
      </c>
      <c r="O201" s="59">
        <f t="shared" ca="1" si="109"/>
        <v>-611250.4274371994</v>
      </c>
      <c r="P201" s="59">
        <f t="shared" ca="1" si="109"/>
        <v>-765759.51585749164</v>
      </c>
      <c r="Q201" s="59">
        <f t="shared" ca="1" si="109"/>
        <v>-936902.98786819808</v>
      </c>
      <c r="R201" s="59">
        <f t="shared" ca="1" si="109"/>
        <v>-1133916.6393222862</v>
      </c>
      <c r="S201" s="59">
        <f t="shared" ca="1" si="109"/>
        <v>-1351121.2039781974</v>
      </c>
      <c r="T201" s="59">
        <f t="shared" ca="1" si="109"/>
        <v>-1587964.9550226186</v>
      </c>
      <c r="U201" s="59">
        <f t="shared" ca="1" si="109"/>
        <v>-1836847.5575313289</v>
      </c>
      <c r="V201" s="59">
        <f t="shared" ca="1" si="109"/>
        <v>-2104544.5084293312</v>
      </c>
      <c r="W201" s="59">
        <f t="shared" ca="1" si="109"/>
        <v>-2384086.7031142237</v>
      </c>
      <c r="X201" s="59">
        <f t="shared" ca="1" si="109"/>
        <v>-2664737.6034261342</v>
      </c>
      <c r="Y201" s="59">
        <f t="shared" ca="1" si="109"/>
        <v>-2950930.0035806485</v>
      </c>
      <c r="Z201" s="59">
        <f t="shared" ca="1" si="109"/>
        <v>-3231679.5118928128</v>
      </c>
      <c r="AA201" s="59">
        <f t="shared" ca="1" si="109"/>
        <v>-3491019.0701203593</v>
      </c>
      <c r="AB201" s="59">
        <f t="shared" ca="1" si="109"/>
        <v>-3716503.7330786469</v>
      </c>
      <c r="AC201" s="59">
        <f t="shared" ca="1" si="109"/>
        <v>-3914906.5616131173</v>
      </c>
      <c r="AD201" s="59">
        <f t="shared" ca="1" si="109"/>
        <v>-4042359.9394697472</v>
      </c>
      <c r="AE201" s="59">
        <f t="shared" ca="1" si="109"/>
        <v>-4071546.7664952883</v>
      </c>
      <c r="AF201" s="59">
        <f t="shared" ca="1" si="109"/>
        <v>-3981683.2011689479</v>
      </c>
      <c r="AG201" s="59">
        <f t="shared" ca="1" si="109"/>
        <v>-3358888.2219920317</v>
      </c>
      <c r="AH201" s="59">
        <f t="shared" ca="1" si="109"/>
        <v>-2643509.2163425013</v>
      </c>
      <c r="AI201" s="59">
        <f t="shared" ca="1" si="109"/>
        <v>-1819253.6542366282</v>
      </c>
      <c r="AJ201" s="59">
        <f t="shared" ca="1" si="109"/>
        <v>-866316.45688803447</v>
      </c>
      <c r="AK201" s="59">
        <f t="shared" ca="1" si="109"/>
        <v>156378.46630054491</v>
      </c>
      <c r="AL201" s="59">
        <f t="shared" ca="1" si="109"/>
        <v>1019129.7209006689</v>
      </c>
      <c r="AM201" s="59">
        <f t="shared" ca="1" si="109"/>
        <v>2005572.0199109316</v>
      </c>
      <c r="AN201" s="59">
        <f t="shared" ca="1" si="109"/>
        <v>3128844.2582396204</v>
      </c>
      <c r="AO201" s="59">
        <f t="shared" ca="1" si="109"/>
        <v>4392241.2052935343</v>
      </c>
      <c r="AP201" s="59">
        <f t="shared" ca="1" si="109"/>
        <v>5823880.3687174879</v>
      </c>
      <c r="AQ201" s="59">
        <f t="shared" ca="1" si="109"/>
        <v>7434604.493453566</v>
      </c>
      <c r="AR201" s="59">
        <f t="shared" ca="1" si="109"/>
        <v>9246724.3440270815</v>
      </c>
      <c r="AS201" s="59">
        <f t="shared" ca="1" si="109"/>
        <v>11300758.485227002</v>
      </c>
      <c r="AT201" s="59">
        <f t="shared" ca="1" si="109"/>
        <v>13621425.836761903</v>
      </c>
      <c r="AU201" s="59">
        <f t="shared" ca="1" si="109"/>
        <v>16235239.764231941</v>
      </c>
      <c r="AV201" s="59">
        <f t="shared" ca="1" si="109"/>
        <v>19171307.639292043</v>
      </c>
      <c r="AW201" s="59">
        <f t="shared" ca="1" si="109"/>
        <v>22461635.58424649</v>
      </c>
      <c r="AX201" s="59">
        <f t="shared" ca="1" si="109"/>
        <v>26141406.734312326</v>
      </c>
      <c r="AY201" s="59">
        <f t="shared" ca="1" si="109"/>
        <v>30249234.912023727</v>
      </c>
      <c r="AZ201" s="59">
        <f t="shared" ca="1" si="109"/>
        <v>34827607.353352137</v>
      </c>
      <c r="BA201" s="59">
        <f t="shared" ca="1" si="109"/>
        <v>39923404.068847477</v>
      </c>
      <c r="BB201" s="59">
        <f t="shared" ca="1" si="109"/>
        <v>45587776.211671345</v>
      </c>
      <c r="BC201" s="59">
        <f t="shared" ca="1" si="109"/>
        <v>51877136.218403772</v>
      </c>
      <c r="BD201" s="59">
        <f t="shared" ca="1" si="109"/>
        <v>58853580.725139707</v>
      </c>
      <c r="BE201" s="59">
        <f t="shared" ca="1" si="109"/>
        <v>68230839.330969065</v>
      </c>
      <c r="BF201" s="59">
        <f t="shared" ca="1" si="109"/>
        <v>78603613.206701651</v>
      </c>
      <c r="BG201" s="59">
        <f t="shared" ca="1" si="109"/>
        <v>90070616.178442165</v>
      </c>
      <c r="BH201" s="59">
        <f t="shared" ca="1" si="109"/>
        <v>102740783.55936763</v>
      </c>
      <c r="BI201" s="59">
        <f t="shared" ca="1" si="109"/>
        <v>116733685.21515127</v>
      </c>
      <c r="BJ201" s="59">
        <f t="shared" ca="1" si="109"/>
        <v>132180456.31873533</v>
      </c>
      <c r="BK201" s="59">
        <f t="shared" ca="1" si="109"/>
        <v>149225027.28928402</v>
      </c>
      <c r="BL201" s="59">
        <f t="shared" ca="1" si="109"/>
        <v>168025717.8910768</v>
      </c>
      <c r="BM201" s="59">
        <f t="shared" ca="1" si="109"/>
        <v>188756615.00794426</v>
      </c>
      <c r="BN201" s="59">
        <f t="shared" ca="1" si="109"/>
        <v>211608803.65683144</v>
      </c>
      <c r="BO201" s="59">
        <f t="shared" ca="1" si="109"/>
        <v>236792487.25493804</v>
      </c>
      <c r="BP201" s="59">
        <f t="shared" ca="1" si="109"/>
        <v>264538615.4588632</v>
      </c>
    </row>
    <row r="203" spans="1:68" s="64" customFormat="1" x14ac:dyDescent="0.2"/>
    <row r="204" spans="1:68" s="30" customFormat="1" ht="20.25" thickBot="1" x14ac:dyDescent="0.35">
      <c r="A204" s="70"/>
      <c r="B204" s="70" t="s">
        <v>179</v>
      </c>
      <c r="C204" s="70"/>
      <c r="D204" s="70"/>
      <c r="E204" s="70"/>
      <c r="F204" s="70"/>
      <c r="G204" s="70"/>
      <c r="H204" s="70"/>
      <c r="I204" s="70"/>
      <c r="J204" s="70"/>
      <c r="K204" s="70"/>
      <c r="L204" s="70"/>
      <c r="M204" s="70"/>
      <c r="N204" s="70"/>
      <c r="O204" s="70"/>
      <c r="P204" s="70"/>
      <c r="Q204" s="70"/>
      <c r="R204" s="70"/>
      <c r="S204" s="70"/>
      <c r="T204" s="70"/>
      <c r="U204" s="70"/>
      <c r="V204" s="70"/>
      <c r="W204" s="70"/>
      <c r="X204" s="70"/>
      <c r="Y204" s="70"/>
      <c r="Z204" s="70"/>
      <c r="AA204" s="70"/>
      <c r="AB204" s="70"/>
      <c r="AC204" s="70"/>
      <c r="AD204" s="70"/>
      <c r="AE204" s="70"/>
      <c r="AF204" s="70"/>
      <c r="AG204" s="70"/>
      <c r="AH204" s="70"/>
      <c r="AI204" s="70"/>
      <c r="AJ204" s="70"/>
      <c r="AK204" s="70"/>
      <c r="AL204" s="70"/>
      <c r="AM204" s="70"/>
      <c r="AN204" s="70"/>
      <c r="AO204" s="70"/>
      <c r="AP204" s="70"/>
      <c r="AQ204" s="70"/>
      <c r="AR204" s="70"/>
      <c r="AS204" s="70"/>
      <c r="AT204" s="70"/>
      <c r="AU204" s="70"/>
      <c r="AV204" s="70"/>
      <c r="AW204" s="70"/>
      <c r="AX204" s="70"/>
      <c r="AY204" s="70"/>
      <c r="AZ204" s="70"/>
      <c r="BA204" s="70"/>
      <c r="BB204" s="70"/>
      <c r="BC204" s="70"/>
      <c r="BD204" s="70"/>
      <c r="BE204" s="70"/>
      <c r="BF204" s="70"/>
      <c r="BG204" s="70"/>
      <c r="BH204" s="70"/>
      <c r="BI204" s="70"/>
      <c r="BJ204" s="70"/>
      <c r="BK204" s="70"/>
      <c r="BL204" s="70"/>
      <c r="BM204" s="70"/>
      <c r="BN204" s="70"/>
      <c r="BO204" s="70"/>
      <c r="BP204" s="70"/>
    </row>
    <row r="205" spans="1:68" ht="13.5" thickTop="1" x14ac:dyDescent="0.2"/>
    <row r="206" spans="1:68" x14ac:dyDescent="0.2">
      <c r="A206" s="4"/>
      <c r="B206" s="4"/>
      <c r="C206" s="4" t="s">
        <v>61</v>
      </c>
    </row>
    <row r="207" spans="1:68" x14ac:dyDescent="0.2">
      <c r="D207" s="4" t="s">
        <v>180</v>
      </c>
    </row>
    <row r="208" spans="1:68" x14ac:dyDescent="0.2">
      <c r="E208" s="1" t="s">
        <v>120</v>
      </c>
      <c r="I208" s="55">
        <f ca="1">I79</f>
        <v>-22368.66</v>
      </c>
      <c r="J208" s="55">
        <f t="shared" ref="J208:BP208" ca="1" si="110">J79</f>
        <v>-33701.18</v>
      </c>
      <c r="K208" s="55">
        <f t="shared" ca="1" si="110"/>
        <v>-75731.473333333328</v>
      </c>
      <c r="L208" s="55">
        <f t="shared" ca="1" si="110"/>
        <v>-96801.200000000012</v>
      </c>
      <c r="M208" s="55">
        <f t="shared" ca="1" si="110"/>
        <v>-104800.51999999999</v>
      </c>
      <c r="N208" s="55">
        <f t="shared" ca="1" si="110"/>
        <v>-129709.17333333334</v>
      </c>
      <c r="O208" s="55">
        <f t="shared" ca="1" si="110"/>
        <v>-155132.73333333334</v>
      </c>
      <c r="P208" s="55">
        <f t="shared" ca="1" si="110"/>
        <v>-152786.97333333333</v>
      </c>
      <c r="Q208" s="55">
        <f t="shared" ca="1" si="110"/>
        <v>-168808.03999999998</v>
      </c>
      <c r="R208" s="55">
        <f t="shared" ca="1" si="110"/>
        <v>-193913.57333333333</v>
      </c>
      <c r="S208" s="55">
        <f t="shared" ca="1" si="110"/>
        <v>-213269.37333333332</v>
      </c>
      <c r="T208" s="55">
        <f t="shared" ca="1" si="110"/>
        <v>-232012.56</v>
      </c>
      <c r="U208" s="55">
        <f t="shared" ca="1" si="110"/>
        <v>-243191.94666666666</v>
      </c>
      <c r="V208" s="55">
        <f t="shared" ca="1" si="110"/>
        <v>-261013.96000000002</v>
      </c>
      <c r="W208" s="55">
        <f t="shared" ca="1" si="110"/>
        <v>-271812.66666666663</v>
      </c>
      <c r="X208" s="55">
        <f t="shared" ca="1" si="110"/>
        <v>-271931.81333333335</v>
      </c>
      <c r="Y208" s="55">
        <f t="shared" ca="1" si="110"/>
        <v>-276379.10666666669</v>
      </c>
      <c r="Z208" s="55">
        <f t="shared" ca="1" si="110"/>
        <v>-269824.37333333329</v>
      </c>
      <c r="AA208" s="55">
        <f t="shared" ca="1" si="110"/>
        <v>-247406.07999999996</v>
      </c>
      <c r="AB208" s="55">
        <f t="shared" ca="1" si="110"/>
        <v>-212598.02666666667</v>
      </c>
      <c r="AC208" s="55">
        <f t="shared" ca="1" si="110"/>
        <v>-184361.24</v>
      </c>
      <c r="AD208" s="55">
        <f t="shared" ca="1" si="110"/>
        <v>-112604.22666666674</v>
      </c>
      <c r="AE208" s="55">
        <f t="shared" ca="1" si="110"/>
        <v>-13721.93333333332</v>
      </c>
      <c r="AF208" s="55">
        <f t="shared" ca="1" si="110"/>
        <v>105876.38666666666</v>
      </c>
      <c r="AG208" s="55">
        <f t="shared" ca="1" si="110"/>
        <v>638274.00000000012</v>
      </c>
      <c r="AH208" s="55">
        <f t="shared" ca="1" si="110"/>
        <v>729581.06666666665</v>
      </c>
      <c r="AI208" s="55">
        <f t="shared" ca="1" si="110"/>
        <v>836424.70000000007</v>
      </c>
      <c r="AJ208" s="55">
        <f t="shared" ca="1" si="110"/>
        <v>962766.73333333316</v>
      </c>
      <c r="AK208" s="55">
        <f t="shared" ca="1" si="110"/>
        <v>1097017.4666666668</v>
      </c>
      <c r="AL208" s="55">
        <f t="shared" ca="1" si="110"/>
        <v>1236920.7333333332</v>
      </c>
      <c r="AM208" s="55">
        <f t="shared" ca="1" si="110"/>
        <v>1410677.2666666666</v>
      </c>
      <c r="AN208" s="55">
        <f t="shared" ca="1" si="110"/>
        <v>1603464.6999999997</v>
      </c>
      <c r="AO208" s="55">
        <f t="shared" ca="1" si="110"/>
        <v>1800590.8666666667</v>
      </c>
      <c r="AP208" s="55">
        <f t="shared" ca="1" si="110"/>
        <v>2037212.2999999998</v>
      </c>
      <c r="AQ208" s="55">
        <f t="shared" ca="1" si="110"/>
        <v>2288925.7666666666</v>
      </c>
      <c r="AR208" s="55">
        <f t="shared" ca="1" si="110"/>
        <v>2571995.0999999996</v>
      </c>
      <c r="AS208" s="55">
        <f t="shared" ca="1" si="110"/>
        <v>2912153.8</v>
      </c>
      <c r="AT208" s="55">
        <f t="shared" ca="1" si="110"/>
        <v>3286826</v>
      </c>
      <c r="AU208" s="55">
        <f t="shared" ca="1" si="110"/>
        <v>3698605.1999999997</v>
      </c>
      <c r="AV208" s="55">
        <f t="shared" ca="1" si="110"/>
        <v>4151158.6999999993</v>
      </c>
      <c r="AW208" s="55">
        <f t="shared" ca="1" si="110"/>
        <v>4648500.9999999991</v>
      </c>
      <c r="AX208" s="55">
        <f t="shared" ca="1" si="110"/>
        <v>5195080.5999999996</v>
      </c>
      <c r="AY208" s="55">
        <f t="shared" ca="1" si="110"/>
        <v>5795779.9999999991</v>
      </c>
      <c r="AZ208" s="55">
        <f t="shared" ca="1" si="110"/>
        <v>6455937.3999999994</v>
      </c>
      <c r="BA208" s="55">
        <f t="shared" ca="1" si="110"/>
        <v>7181455.1999999993</v>
      </c>
      <c r="BB208" s="55">
        <f t="shared" ca="1" si="110"/>
        <v>7978799.9999999991</v>
      </c>
      <c r="BC208" s="55">
        <f t="shared" ca="1" si="110"/>
        <v>8855089.3999999985</v>
      </c>
      <c r="BD208" s="55">
        <f t="shared" ca="1" si="110"/>
        <v>9818113.6999999993</v>
      </c>
      <c r="BE208" s="55">
        <f t="shared" ca="1" si="110"/>
        <v>13225541.359999999</v>
      </c>
      <c r="BF208" s="55">
        <f t="shared" ca="1" si="110"/>
        <v>14621311.399999999</v>
      </c>
      <c r="BG208" s="55">
        <f t="shared" ca="1" si="110"/>
        <v>16155275.720000001</v>
      </c>
      <c r="BH208" s="55">
        <f t="shared" ca="1" si="110"/>
        <v>17841105.32</v>
      </c>
      <c r="BI208" s="55">
        <f t="shared" ca="1" si="110"/>
        <v>19693825.280000001</v>
      </c>
      <c r="BJ208" s="55">
        <f t="shared" ca="1" si="110"/>
        <v>21729971</v>
      </c>
      <c r="BK208" s="55">
        <f t="shared" ca="1" si="110"/>
        <v>23967692.359999999</v>
      </c>
      <c r="BL208" s="55">
        <f t="shared" ca="1" si="110"/>
        <v>26426962.040000003</v>
      </c>
      <c r="BM208" s="55">
        <f t="shared" ca="1" si="110"/>
        <v>29129679.68</v>
      </c>
      <c r="BN208" s="55">
        <f t="shared" ca="1" si="110"/>
        <v>32099958.319999997</v>
      </c>
      <c r="BO208" s="55">
        <f t="shared" ca="1" si="110"/>
        <v>35364306.68</v>
      </c>
      <c r="BP208" s="55">
        <f t="shared" ca="1" si="110"/>
        <v>38951837.479999997</v>
      </c>
    </row>
    <row r="209" spans="4:68" x14ac:dyDescent="0.2">
      <c r="E209" s="1" t="s">
        <v>181</v>
      </c>
      <c r="I209" s="55">
        <f t="shared" ref="I209:J209" ca="1" si="111">(H100-I100)+(I113-H113)</f>
        <v>2455.194</v>
      </c>
      <c r="J209" s="55">
        <f t="shared" ca="1" si="111"/>
        <v>705.53400000000011</v>
      </c>
      <c r="K209" s="55">
        <f ca="1">(J100-K100)+(K113-J113)</f>
        <v>3509.1160000000009</v>
      </c>
      <c r="L209" s="55">
        <f t="shared" ref="L209:BP209" ca="1" si="112">(K100-L100)+(L113-K113)</f>
        <v>1870.1166666666668</v>
      </c>
      <c r="M209" s="55">
        <f t="shared" ca="1" si="112"/>
        <v>180.42733333333308</v>
      </c>
      <c r="N209" s="55">
        <f t="shared" ca="1" si="112"/>
        <v>1440.7199999999939</v>
      </c>
      <c r="O209" s="55">
        <f t="shared" ca="1" si="112"/>
        <v>1348.0026666666654</v>
      </c>
      <c r="P209" s="55">
        <f t="shared" ca="1" si="112"/>
        <v>-1743.6280000000042</v>
      </c>
      <c r="Q209" s="55">
        <f t="shared" ca="1" si="112"/>
        <v>-813.21600000000035</v>
      </c>
      <c r="R209" s="55">
        <f t="shared" ca="1" si="112"/>
        <v>-446.24666666666235</v>
      </c>
      <c r="S209" s="55">
        <f t="shared" ca="1" si="112"/>
        <v>-1731.8933333333371</v>
      </c>
      <c r="T209" s="55">
        <f t="shared" ca="1" si="112"/>
        <v>-3022.7519999999968</v>
      </c>
      <c r="U209" s="55">
        <f t="shared" ca="1" si="112"/>
        <v>-4708.5666666666693</v>
      </c>
      <c r="V209" s="55">
        <f t="shared" ca="1" si="112"/>
        <v>-6690.1826666666748</v>
      </c>
      <c r="W209" s="55">
        <f t="shared" ca="1" si="112"/>
        <v>-9876.2293333333364</v>
      </c>
      <c r="X209" s="55">
        <f t="shared" ca="1" si="112"/>
        <v>-14342.630666666671</v>
      </c>
      <c r="Y209" s="55">
        <f t="shared" ca="1" si="112"/>
        <v>-18376.654666666647</v>
      </c>
      <c r="Z209" s="55">
        <f t="shared" ca="1" si="112"/>
        <v>-24943.597333333339</v>
      </c>
      <c r="AA209" s="55">
        <f t="shared" ca="1" si="112"/>
        <v>-33907.67066666668</v>
      </c>
      <c r="AB209" s="55">
        <f t="shared" ca="1" si="112"/>
        <v>-44732.810666666694</v>
      </c>
      <c r="AC209" s="55">
        <f t="shared" ca="1" si="112"/>
        <v>-56431.246666666673</v>
      </c>
      <c r="AD209" s="55">
        <f t="shared" ca="1" si="112"/>
        <v>-76561.057333333345</v>
      </c>
      <c r="AE209" s="55">
        <f t="shared" ca="1" si="112"/>
        <v>-100353.29866666667</v>
      </c>
      <c r="AF209" s="55">
        <f t="shared" ca="1" si="112"/>
        <v>-129460.45066666666</v>
      </c>
      <c r="AG209" s="55">
        <f t="shared" ca="1" si="112"/>
        <v>-221688.58400000003</v>
      </c>
      <c r="AH209" s="55">
        <f t="shared" ca="1" si="112"/>
        <v>-149647.25466666667</v>
      </c>
      <c r="AI209" s="55">
        <f t="shared" ca="1" si="112"/>
        <v>-119595.89333333337</v>
      </c>
      <c r="AJ209" s="55">
        <f t="shared" ca="1" si="112"/>
        <v>-104112.52666666664</v>
      </c>
      <c r="AK209" s="55">
        <f t="shared" ca="1" si="112"/>
        <v>-113987.94666666671</v>
      </c>
      <c r="AL209" s="55">
        <f t="shared" ca="1" si="112"/>
        <v>-124447.34666666668</v>
      </c>
      <c r="AM209" s="55">
        <f t="shared" ca="1" si="112"/>
        <v>-138593.37333333341</v>
      </c>
      <c r="AN209" s="55">
        <f t="shared" ca="1" si="112"/>
        <v>-152653.42666666664</v>
      </c>
      <c r="AO209" s="55">
        <f t="shared" ca="1" si="112"/>
        <v>-166267.62666666662</v>
      </c>
      <c r="AP209" s="55">
        <f t="shared" ca="1" si="112"/>
        <v>-184454.07333333339</v>
      </c>
      <c r="AQ209" s="55">
        <f t="shared" ca="1" si="112"/>
        <v>-202057.34666666662</v>
      </c>
      <c r="AR209" s="55">
        <f t="shared" ca="1" si="112"/>
        <v>-222448.9133333333</v>
      </c>
      <c r="AS209" s="55">
        <f t="shared" ca="1" si="112"/>
        <v>-247222.84666666665</v>
      </c>
      <c r="AT209" s="55">
        <f t="shared" ca="1" si="112"/>
        <v>-273024.60000000003</v>
      </c>
      <c r="AU209" s="55">
        <f t="shared" ca="1" si="112"/>
        <v>-300323.5</v>
      </c>
      <c r="AV209" s="55">
        <f t="shared" ca="1" si="112"/>
        <v>-330061.32000000007</v>
      </c>
      <c r="AW209" s="55">
        <f t="shared" ca="1" si="112"/>
        <v>-362734.92000000004</v>
      </c>
      <c r="AX209" s="55">
        <f t="shared" ca="1" si="112"/>
        <v>-398643.62000000005</v>
      </c>
      <c r="AY209" s="55">
        <f t="shared" ca="1" si="112"/>
        <v>-438111.4200000001</v>
      </c>
      <c r="AZ209" s="55">
        <f t="shared" ca="1" si="112"/>
        <v>-481481.60000000003</v>
      </c>
      <c r="BA209" s="55">
        <f t="shared" ca="1" si="112"/>
        <v>-529148.75999999989</v>
      </c>
      <c r="BB209" s="55">
        <f t="shared" ca="1" si="112"/>
        <v>-581534.60000000009</v>
      </c>
      <c r="BC209" s="55">
        <f t="shared" ca="1" si="112"/>
        <v>-639110.43999999994</v>
      </c>
      <c r="BD209" s="55">
        <f t="shared" ca="1" si="112"/>
        <v>-702376.55999999994</v>
      </c>
      <c r="BE209" s="55">
        <f t="shared" ca="1" si="112"/>
        <v>-1776121.6239999998</v>
      </c>
      <c r="BF209" s="55">
        <f t="shared" ca="1" si="112"/>
        <v>-1480505.452</v>
      </c>
      <c r="BG209" s="55">
        <f t="shared" ca="1" si="112"/>
        <v>-1365109.2919999999</v>
      </c>
      <c r="BH209" s="55">
        <f t="shared" ca="1" si="112"/>
        <v>-1229540.4720000001</v>
      </c>
      <c r="BI209" s="55">
        <f t="shared" ca="1" si="112"/>
        <v>-1351264.2239999999</v>
      </c>
      <c r="BJ209" s="55">
        <f t="shared" ca="1" si="112"/>
        <v>-1485040.9440000001</v>
      </c>
      <c r="BK209" s="55">
        <f t="shared" ca="1" si="112"/>
        <v>-1632059.496</v>
      </c>
      <c r="BL209" s="55">
        <f t="shared" ca="1" si="112"/>
        <v>-1793639.4480000001</v>
      </c>
      <c r="BM209" s="55">
        <f t="shared" ca="1" si="112"/>
        <v>-1971204.1439999999</v>
      </c>
      <c r="BN209" s="55">
        <f t="shared" ca="1" si="112"/>
        <v>-2166347.0400000005</v>
      </c>
      <c r="BO209" s="55">
        <f t="shared" ca="1" si="112"/>
        <v>-2380816.4879999999</v>
      </c>
      <c r="BP209" s="55">
        <f t="shared" ca="1" si="112"/>
        <v>-2616524.2559999996</v>
      </c>
    </row>
    <row r="210" spans="4:68" x14ac:dyDescent="0.2">
      <c r="D210" s="4" t="s">
        <v>182</v>
      </c>
      <c r="E210" s="4"/>
      <c r="F210" s="4"/>
      <c r="G210" s="4"/>
      <c r="H210" s="4"/>
      <c r="I210" s="59">
        <f ca="1">SUBTOTAL(9,I208:I209)</f>
        <v>-19913.466</v>
      </c>
      <c r="J210" s="59">
        <f t="shared" ref="J210:BP210" ca="1" si="113">SUBTOTAL(9,J208:J209)</f>
        <v>-32995.646000000001</v>
      </c>
      <c r="K210" s="59">
        <f t="shared" ca="1" si="113"/>
        <v>-72222.357333333333</v>
      </c>
      <c r="L210" s="59">
        <f t="shared" ca="1" si="113"/>
        <v>-94931.083333333343</v>
      </c>
      <c r="M210" s="59">
        <f t="shared" ca="1" si="113"/>
        <v>-104620.09266666666</v>
      </c>
      <c r="N210" s="59">
        <f t="shared" ca="1" si="113"/>
        <v>-128268.45333333334</v>
      </c>
      <c r="O210" s="59">
        <f t="shared" ca="1" si="113"/>
        <v>-153784.73066666667</v>
      </c>
      <c r="P210" s="59">
        <f t="shared" ca="1" si="113"/>
        <v>-154530.60133333332</v>
      </c>
      <c r="Q210" s="59">
        <f t="shared" ca="1" si="113"/>
        <v>-169621.25599999999</v>
      </c>
      <c r="R210" s="59">
        <f t="shared" ca="1" si="113"/>
        <v>-194359.82</v>
      </c>
      <c r="S210" s="59">
        <f t="shared" ca="1" si="113"/>
        <v>-215001.26666666666</v>
      </c>
      <c r="T210" s="59">
        <f t="shared" ca="1" si="113"/>
        <v>-235035.31200000001</v>
      </c>
      <c r="U210" s="59">
        <f t="shared" ca="1" si="113"/>
        <v>-247900.51333333334</v>
      </c>
      <c r="V210" s="59">
        <f t="shared" ca="1" si="113"/>
        <v>-267704.14266666671</v>
      </c>
      <c r="W210" s="59">
        <f t="shared" ca="1" si="113"/>
        <v>-281688.89599999995</v>
      </c>
      <c r="X210" s="59">
        <f t="shared" ca="1" si="113"/>
        <v>-286274.44400000002</v>
      </c>
      <c r="Y210" s="59">
        <f t="shared" ca="1" si="113"/>
        <v>-294755.76133333333</v>
      </c>
      <c r="Z210" s="59">
        <f t="shared" ca="1" si="113"/>
        <v>-294767.97066666663</v>
      </c>
      <c r="AA210" s="59">
        <f t="shared" ca="1" si="113"/>
        <v>-281313.75066666666</v>
      </c>
      <c r="AB210" s="59">
        <f t="shared" ca="1" si="113"/>
        <v>-257330.83733333336</v>
      </c>
      <c r="AC210" s="59">
        <f t="shared" ca="1" si="113"/>
        <v>-240792.48666666666</v>
      </c>
      <c r="AD210" s="59">
        <f t="shared" ca="1" si="113"/>
        <v>-189165.2840000001</v>
      </c>
      <c r="AE210" s="59">
        <f t="shared" ca="1" si="113"/>
        <v>-114075.23199999999</v>
      </c>
      <c r="AF210" s="59">
        <f t="shared" ca="1" si="113"/>
        <v>-23584.063999999998</v>
      </c>
      <c r="AG210" s="59">
        <f t="shared" ca="1" si="113"/>
        <v>416585.41600000008</v>
      </c>
      <c r="AH210" s="59">
        <f t="shared" ca="1" si="113"/>
        <v>579933.81199999992</v>
      </c>
      <c r="AI210" s="59">
        <f t="shared" ca="1" si="113"/>
        <v>716828.80666666664</v>
      </c>
      <c r="AJ210" s="59">
        <f t="shared" ca="1" si="113"/>
        <v>858654.20666666655</v>
      </c>
      <c r="AK210" s="59">
        <f t="shared" ca="1" si="113"/>
        <v>983029.52</v>
      </c>
      <c r="AL210" s="59">
        <f t="shared" ca="1" si="113"/>
        <v>1112473.3866666665</v>
      </c>
      <c r="AM210" s="59">
        <f t="shared" ca="1" si="113"/>
        <v>1272083.8933333331</v>
      </c>
      <c r="AN210" s="59">
        <f t="shared" ca="1" si="113"/>
        <v>1450811.273333333</v>
      </c>
      <c r="AO210" s="59">
        <f t="shared" ca="1" si="113"/>
        <v>1634323.24</v>
      </c>
      <c r="AP210" s="59">
        <f t="shared" ca="1" si="113"/>
        <v>1852758.2266666663</v>
      </c>
      <c r="AQ210" s="59">
        <f t="shared" ca="1" si="113"/>
        <v>2086868.42</v>
      </c>
      <c r="AR210" s="59">
        <f t="shared" ca="1" si="113"/>
        <v>2349546.1866666665</v>
      </c>
      <c r="AS210" s="59">
        <f t="shared" ca="1" si="113"/>
        <v>2664930.9533333331</v>
      </c>
      <c r="AT210" s="59">
        <f t="shared" ca="1" si="113"/>
        <v>3013801.4</v>
      </c>
      <c r="AU210" s="59">
        <f t="shared" ca="1" si="113"/>
        <v>3398281.6999999997</v>
      </c>
      <c r="AV210" s="59">
        <f t="shared" ca="1" si="113"/>
        <v>3821097.379999999</v>
      </c>
      <c r="AW210" s="59">
        <f t="shared" ca="1" si="113"/>
        <v>4285766.0799999991</v>
      </c>
      <c r="AX210" s="59">
        <f t="shared" ca="1" si="113"/>
        <v>4796436.9799999995</v>
      </c>
      <c r="AY210" s="59">
        <f t="shared" ca="1" si="113"/>
        <v>5357668.5799999991</v>
      </c>
      <c r="AZ210" s="59">
        <f t="shared" ca="1" si="113"/>
        <v>5974455.7999999998</v>
      </c>
      <c r="BA210" s="59">
        <f t="shared" ca="1" si="113"/>
        <v>6652306.4399999995</v>
      </c>
      <c r="BB210" s="59">
        <f t="shared" ca="1" si="113"/>
        <v>7397265.3999999985</v>
      </c>
      <c r="BC210" s="59">
        <f t="shared" ca="1" si="113"/>
        <v>8215978.959999999</v>
      </c>
      <c r="BD210" s="59">
        <f t="shared" ca="1" si="113"/>
        <v>9115737.1399999987</v>
      </c>
      <c r="BE210" s="59">
        <f t="shared" ca="1" si="113"/>
        <v>11449419.736</v>
      </c>
      <c r="BF210" s="59">
        <f t="shared" ca="1" si="113"/>
        <v>13140805.947999999</v>
      </c>
      <c r="BG210" s="59">
        <f t="shared" ca="1" si="113"/>
        <v>14790166.428000001</v>
      </c>
      <c r="BH210" s="59">
        <f t="shared" ca="1" si="113"/>
        <v>16611564.848000001</v>
      </c>
      <c r="BI210" s="59">
        <f t="shared" ca="1" si="113"/>
        <v>18342561.056000002</v>
      </c>
      <c r="BJ210" s="59">
        <f t="shared" ca="1" si="113"/>
        <v>20244930.056000002</v>
      </c>
      <c r="BK210" s="59">
        <f t="shared" ca="1" si="113"/>
        <v>22335632.864</v>
      </c>
      <c r="BL210" s="59">
        <f t="shared" ca="1" si="113"/>
        <v>24633322.592000004</v>
      </c>
      <c r="BM210" s="59">
        <f t="shared" ca="1" si="113"/>
        <v>27158475.535999998</v>
      </c>
      <c r="BN210" s="59">
        <f t="shared" ca="1" si="113"/>
        <v>29933611.279999997</v>
      </c>
      <c r="BO210" s="59">
        <f t="shared" ca="1" si="113"/>
        <v>32983490.192000002</v>
      </c>
      <c r="BP210" s="59">
        <f t="shared" ca="1" si="113"/>
        <v>36335313.223999999</v>
      </c>
    </row>
    <row r="211" spans="4:68" x14ac:dyDescent="0.2">
      <c r="I211" s="55"/>
      <c r="J211" s="55"/>
      <c r="K211" s="55"/>
      <c r="L211" s="55"/>
      <c r="M211" s="55"/>
      <c r="N211" s="55"/>
      <c r="O211" s="55"/>
      <c r="P211" s="55"/>
      <c r="Q211" s="55"/>
      <c r="R211" s="55"/>
      <c r="S211" s="55"/>
      <c r="T211" s="55"/>
      <c r="U211" s="55"/>
      <c r="V211" s="55"/>
      <c r="W211" s="55"/>
      <c r="X211" s="55"/>
      <c r="Y211" s="55"/>
      <c r="Z211" s="55"/>
      <c r="AA211" s="55"/>
      <c r="AB211" s="55"/>
      <c r="AC211" s="55"/>
      <c r="AD211" s="55"/>
      <c r="AE211" s="55"/>
      <c r="AF211" s="55"/>
      <c r="AG211" s="55"/>
      <c r="AH211" s="55"/>
      <c r="AI211" s="55"/>
      <c r="AJ211" s="55"/>
      <c r="AK211" s="55"/>
      <c r="AL211" s="55"/>
      <c r="AM211" s="55"/>
      <c r="AN211" s="55"/>
      <c r="AO211" s="55"/>
      <c r="AP211" s="55"/>
      <c r="AQ211" s="55"/>
      <c r="AR211" s="55"/>
      <c r="AS211" s="55"/>
      <c r="AT211" s="55"/>
      <c r="AU211" s="55"/>
      <c r="AV211" s="55"/>
      <c r="AW211" s="55"/>
      <c r="AX211" s="55"/>
      <c r="AY211" s="55"/>
      <c r="AZ211" s="55"/>
      <c r="BA211" s="55"/>
      <c r="BB211" s="55"/>
      <c r="BC211" s="55"/>
      <c r="BD211" s="55"/>
      <c r="BE211" s="55"/>
      <c r="BF211" s="55"/>
      <c r="BG211" s="55"/>
      <c r="BH211" s="55"/>
      <c r="BI211" s="55"/>
      <c r="BJ211" s="55"/>
      <c r="BK211" s="55"/>
      <c r="BL211" s="55"/>
      <c r="BM211" s="55"/>
      <c r="BN211" s="55"/>
      <c r="BO211" s="55"/>
      <c r="BP211" s="55"/>
    </row>
    <row r="212" spans="4:68" x14ac:dyDescent="0.2">
      <c r="D212" s="4" t="s">
        <v>183</v>
      </c>
      <c r="I212" s="55"/>
      <c r="J212" s="55"/>
      <c r="K212" s="55"/>
      <c r="L212" s="55"/>
      <c r="M212" s="55"/>
      <c r="N212" s="55"/>
      <c r="O212" s="55"/>
      <c r="P212" s="55"/>
      <c r="Q212" s="55"/>
      <c r="R212" s="55"/>
      <c r="S212" s="55"/>
      <c r="T212" s="55"/>
      <c r="U212" s="55"/>
      <c r="V212" s="55"/>
      <c r="W212" s="55"/>
      <c r="X212" s="55"/>
      <c r="Y212" s="55"/>
      <c r="Z212" s="55"/>
      <c r="AA212" s="55"/>
      <c r="AB212" s="55"/>
      <c r="AC212" s="55"/>
      <c r="AD212" s="55"/>
      <c r="AE212" s="55"/>
      <c r="AF212" s="55"/>
      <c r="AG212" s="55"/>
      <c r="AH212" s="55"/>
      <c r="AI212" s="55"/>
      <c r="AJ212" s="55"/>
      <c r="AK212" s="55"/>
      <c r="AL212" s="55"/>
      <c r="AM212" s="55"/>
      <c r="AN212" s="55"/>
      <c r="AO212" s="55"/>
      <c r="AP212" s="55"/>
      <c r="AQ212" s="55"/>
      <c r="AR212" s="55"/>
      <c r="AS212" s="55"/>
      <c r="AT212" s="55"/>
      <c r="AU212" s="55"/>
      <c r="AV212" s="55"/>
      <c r="AW212" s="55"/>
      <c r="AX212" s="55"/>
      <c r="AY212" s="55"/>
      <c r="AZ212" s="55"/>
      <c r="BA212" s="55"/>
      <c r="BB212" s="55"/>
      <c r="BC212" s="55"/>
      <c r="BD212" s="55"/>
      <c r="BE212" s="55"/>
      <c r="BF212" s="55"/>
      <c r="BG212" s="55"/>
      <c r="BH212" s="55"/>
      <c r="BI212" s="55"/>
      <c r="BJ212" s="55"/>
      <c r="BK212" s="55"/>
      <c r="BL212" s="55"/>
      <c r="BM212" s="55"/>
      <c r="BN212" s="55"/>
      <c r="BO212" s="55"/>
      <c r="BP212" s="55"/>
    </row>
    <row r="213" spans="4:68" x14ac:dyDescent="0.2">
      <c r="E213" s="1" t="s">
        <v>184</v>
      </c>
      <c r="I213" s="55">
        <f>-I145</f>
        <v>-3400</v>
      </c>
      <c r="J213" s="55">
        <f t="shared" ref="J213:BP213" si="114">-J145</f>
        <v>-2000.0000000000005</v>
      </c>
      <c r="K213" s="55">
        <f t="shared" si="114"/>
        <v>-9600</v>
      </c>
      <c r="L213" s="55">
        <f t="shared" si="114"/>
        <v>-5000</v>
      </c>
      <c r="M213" s="55">
        <f t="shared" si="114"/>
        <v>-2000</v>
      </c>
      <c r="N213" s="55">
        <f t="shared" si="114"/>
        <v>-6000</v>
      </c>
      <c r="O213" s="55">
        <f t="shared" si="114"/>
        <v>-6000</v>
      </c>
      <c r="P213" s="55">
        <f t="shared" si="114"/>
        <v>0</v>
      </c>
      <c r="Q213" s="55">
        <f t="shared" si="114"/>
        <v>-4000</v>
      </c>
      <c r="R213" s="55">
        <f t="shared" si="114"/>
        <v>-6000</v>
      </c>
      <c r="S213" s="55">
        <f t="shared" si="114"/>
        <v>-6000</v>
      </c>
      <c r="T213" s="55">
        <f t="shared" si="114"/>
        <v>-6000</v>
      </c>
      <c r="U213" s="55">
        <f t="shared" si="114"/>
        <v>-4000</v>
      </c>
      <c r="V213" s="55">
        <f t="shared" si="114"/>
        <v>-6000</v>
      </c>
      <c r="W213" s="55">
        <f t="shared" si="114"/>
        <v>-6000</v>
      </c>
      <c r="X213" s="55">
        <f t="shared" si="114"/>
        <v>-4000</v>
      </c>
      <c r="Y213" s="55">
        <f t="shared" si="114"/>
        <v>-6000</v>
      </c>
      <c r="Z213" s="55">
        <f t="shared" si="114"/>
        <v>-6000</v>
      </c>
      <c r="AA213" s="55">
        <f t="shared" si="114"/>
        <v>-4000</v>
      </c>
      <c r="AB213" s="55">
        <f t="shared" si="114"/>
        <v>-4000</v>
      </c>
      <c r="AC213" s="55">
        <f t="shared" si="114"/>
        <v>-10000</v>
      </c>
      <c r="AD213" s="55">
        <f t="shared" si="114"/>
        <v>-4000</v>
      </c>
      <c r="AE213" s="55">
        <f t="shared" si="114"/>
        <v>-4000</v>
      </c>
      <c r="AF213" s="55">
        <f t="shared" si="114"/>
        <v>-8000</v>
      </c>
      <c r="AG213" s="55">
        <f t="shared" si="114"/>
        <v>-4000</v>
      </c>
      <c r="AH213" s="55">
        <f t="shared" si="114"/>
        <v>-6000</v>
      </c>
      <c r="AI213" s="55">
        <f t="shared" si="114"/>
        <v>-6000</v>
      </c>
      <c r="AJ213" s="55">
        <f t="shared" si="114"/>
        <v>-4000</v>
      </c>
      <c r="AK213" s="55">
        <f t="shared" si="114"/>
        <v>-6000</v>
      </c>
      <c r="AL213" s="55">
        <f t="shared" si="114"/>
        <v>-8000</v>
      </c>
      <c r="AM213" s="55">
        <f t="shared" si="114"/>
        <v>-4000</v>
      </c>
      <c r="AN213" s="55">
        <f t="shared" si="114"/>
        <v>-4000</v>
      </c>
      <c r="AO213" s="55">
        <f t="shared" si="114"/>
        <v>-8000</v>
      </c>
      <c r="AP213" s="55">
        <f t="shared" si="114"/>
        <v>-4000</v>
      </c>
      <c r="AQ213" s="55">
        <f t="shared" si="114"/>
        <v>-6000</v>
      </c>
      <c r="AR213" s="55">
        <f t="shared" si="114"/>
        <v>-6000</v>
      </c>
      <c r="AS213" s="55">
        <f t="shared" si="114"/>
        <v>0</v>
      </c>
      <c r="AT213" s="55">
        <f t="shared" si="114"/>
        <v>0</v>
      </c>
      <c r="AU213" s="55">
        <f t="shared" si="114"/>
        <v>0</v>
      </c>
      <c r="AV213" s="55">
        <f t="shared" si="114"/>
        <v>0</v>
      </c>
      <c r="AW213" s="55">
        <f t="shared" si="114"/>
        <v>0</v>
      </c>
      <c r="AX213" s="55">
        <f t="shared" si="114"/>
        <v>0</v>
      </c>
      <c r="AY213" s="55">
        <f t="shared" si="114"/>
        <v>0</v>
      </c>
      <c r="AZ213" s="55">
        <f t="shared" si="114"/>
        <v>0</v>
      </c>
      <c r="BA213" s="55">
        <f t="shared" si="114"/>
        <v>0</v>
      </c>
      <c r="BB213" s="55">
        <f t="shared" si="114"/>
        <v>0</v>
      </c>
      <c r="BC213" s="55">
        <f t="shared" si="114"/>
        <v>0</v>
      </c>
      <c r="BD213" s="55">
        <f t="shared" si="114"/>
        <v>0</v>
      </c>
      <c r="BE213" s="55">
        <f t="shared" si="114"/>
        <v>0</v>
      </c>
      <c r="BF213" s="55">
        <f t="shared" si="114"/>
        <v>0</v>
      </c>
      <c r="BG213" s="55">
        <f t="shared" si="114"/>
        <v>0</v>
      </c>
      <c r="BH213" s="55">
        <f t="shared" si="114"/>
        <v>0</v>
      </c>
      <c r="BI213" s="55">
        <f t="shared" si="114"/>
        <v>0</v>
      </c>
      <c r="BJ213" s="55">
        <f t="shared" si="114"/>
        <v>0</v>
      </c>
      <c r="BK213" s="55">
        <f t="shared" si="114"/>
        <v>0</v>
      </c>
      <c r="BL213" s="55">
        <f t="shared" si="114"/>
        <v>0</v>
      </c>
      <c r="BM213" s="55">
        <f t="shared" si="114"/>
        <v>0</v>
      </c>
      <c r="BN213" s="55">
        <f t="shared" si="114"/>
        <v>0</v>
      </c>
      <c r="BO213" s="55">
        <f t="shared" si="114"/>
        <v>0</v>
      </c>
      <c r="BP213" s="55">
        <f t="shared" si="114"/>
        <v>0</v>
      </c>
    </row>
    <row r="214" spans="4:68" x14ac:dyDescent="0.2">
      <c r="E214" s="1" t="s">
        <v>185</v>
      </c>
      <c r="I214" s="55">
        <f>I146</f>
        <v>0</v>
      </c>
      <c r="J214" s="55">
        <f t="shared" ref="J214:BP214" si="115">J146</f>
        <v>0</v>
      </c>
      <c r="K214" s="55">
        <f t="shared" si="115"/>
        <v>0</v>
      </c>
      <c r="L214" s="55">
        <f t="shared" si="115"/>
        <v>0</v>
      </c>
      <c r="M214" s="55">
        <f t="shared" si="115"/>
        <v>0</v>
      </c>
      <c r="N214" s="55">
        <f t="shared" si="115"/>
        <v>0</v>
      </c>
      <c r="O214" s="55">
        <f t="shared" si="115"/>
        <v>0</v>
      </c>
      <c r="P214" s="55">
        <f t="shared" si="115"/>
        <v>0</v>
      </c>
      <c r="Q214" s="55">
        <f t="shared" si="115"/>
        <v>0</v>
      </c>
      <c r="R214" s="55">
        <f t="shared" si="115"/>
        <v>0</v>
      </c>
      <c r="S214" s="55">
        <f t="shared" si="115"/>
        <v>0</v>
      </c>
      <c r="T214" s="55">
        <f t="shared" si="115"/>
        <v>0</v>
      </c>
      <c r="U214" s="55">
        <f t="shared" si="115"/>
        <v>0</v>
      </c>
      <c r="V214" s="55">
        <f t="shared" si="115"/>
        <v>0</v>
      </c>
      <c r="W214" s="55">
        <f t="shared" si="115"/>
        <v>0</v>
      </c>
      <c r="X214" s="55">
        <f t="shared" si="115"/>
        <v>0</v>
      </c>
      <c r="Y214" s="55">
        <f t="shared" si="115"/>
        <v>0</v>
      </c>
      <c r="Z214" s="55">
        <f t="shared" si="115"/>
        <v>0</v>
      </c>
      <c r="AA214" s="55">
        <f t="shared" si="115"/>
        <v>0</v>
      </c>
      <c r="AB214" s="55">
        <f t="shared" si="115"/>
        <v>0</v>
      </c>
      <c r="AC214" s="55">
        <f t="shared" si="115"/>
        <v>0</v>
      </c>
      <c r="AD214" s="55">
        <f t="shared" si="115"/>
        <v>0</v>
      </c>
      <c r="AE214" s="55">
        <f t="shared" si="115"/>
        <v>0</v>
      </c>
      <c r="AF214" s="55">
        <f t="shared" si="115"/>
        <v>0</v>
      </c>
      <c r="AG214" s="55">
        <f t="shared" si="115"/>
        <v>0</v>
      </c>
      <c r="AH214" s="55">
        <f t="shared" si="115"/>
        <v>0</v>
      </c>
      <c r="AI214" s="55">
        <f t="shared" si="115"/>
        <v>0</v>
      </c>
      <c r="AJ214" s="55">
        <f t="shared" si="115"/>
        <v>0</v>
      </c>
      <c r="AK214" s="55">
        <f t="shared" si="115"/>
        <v>0</v>
      </c>
      <c r="AL214" s="55">
        <f t="shared" si="115"/>
        <v>0</v>
      </c>
      <c r="AM214" s="55">
        <f t="shared" si="115"/>
        <v>0</v>
      </c>
      <c r="AN214" s="55">
        <f t="shared" si="115"/>
        <v>0</v>
      </c>
      <c r="AO214" s="55">
        <f t="shared" si="115"/>
        <v>0</v>
      </c>
      <c r="AP214" s="55">
        <f t="shared" si="115"/>
        <v>0</v>
      </c>
      <c r="AQ214" s="55">
        <f t="shared" si="115"/>
        <v>0</v>
      </c>
      <c r="AR214" s="55">
        <f t="shared" si="115"/>
        <v>0</v>
      </c>
      <c r="AS214" s="55">
        <f t="shared" si="115"/>
        <v>0</v>
      </c>
      <c r="AT214" s="55">
        <f t="shared" si="115"/>
        <v>0</v>
      </c>
      <c r="AU214" s="55">
        <f t="shared" si="115"/>
        <v>0</v>
      </c>
      <c r="AV214" s="55">
        <f t="shared" si="115"/>
        <v>0</v>
      </c>
      <c r="AW214" s="55">
        <f t="shared" si="115"/>
        <v>0</v>
      </c>
      <c r="AX214" s="55">
        <f t="shared" si="115"/>
        <v>0</v>
      </c>
      <c r="AY214" s="55">
        <f t="shared" si="115"/>
        <v>0</v>
      </c>
      <c r="AZ214" s="55">
        <f t="shared" si="115"/>
        <v>0</v>
      </c>
      <c r="BA214" s="55">
        <f t="shared" si="115"/>
        <v>0</v>
      </c>
      <c r="BB214" s="55">
        <f t="shared" si="115"/>
        <v>0</v>
      </c>
      <c r="BC214" s="55">
        <f t="shared" si="115"/>
        <v>0</v>
      </c>
      <c r="BD214" s="55">
        <f t="shared" si="115"/>
        <v>0</v>
      </c>
      <c r="BE214" s="55">
        <f t="shared" si="115"/>
        <v>0</v>
      </c>
      <c r="BF214" s="55">
        <f t="shared" si="115"/>
        <v>0</v>
      </c>
      <c r="BG214" s="55">
        <f t="shared" si="115"/>
        <v>0</v>
      </c>
      <c r="BH214" s="55">
        <f t="shared" si="115"/>
        <v>0</v>
      </c>
      <c r="BI214" s="55">
        <f t="shared" si="115"/>
        <v>0</v>
      </c>
      <c r="BJ214" s="55">
        <f t="shared" si="115"/>
        <v>0</v>
      </c>
      <c r="BK214" s="55">
        <f t="shared" si="115"/>
        <v>0</v>
      </c>
      <c r="BL214" s="55">
        <f t="shared" si="115"/>
        <v>0</v>
      </c>
      <c r="BM214" s="55">
        <f t="shared" si="115"/>
        <v>0</v>
      </c>
      <c r="BN214" s="55">
        <f t="shared" si="115"/>
        <v>0</v>
      </c>
      <c r="BO214" s="55">
        <f t="shared" si="115"/>
        <v>0</v>
      </c>
      <c r="BP214" s="55">
        <f t="shared" si="115"/>
        <v>0</v>
      </c>
    </row>
    <row r="215" spans="4:68" x14ac:dyDescent="0.2">
      <c r="D215" s="4" t="s">
        <v>186</v>
      </c>
      <c r="I215" s="59">
        <f>SUBTOTAL(9,I213:I214)</f>
        <v>-3400</v>
      </c>
      <c r="J215" s="59">
        <f t="shared" ref="J215:BP215" si="116">SUBTOTAL(9,J213:J214)</f>
        <v>-2000.0000000000005</v>
      </c>
      <c r="K215" s="59">
        <f t="shared" si="116"/>
        <v>-9600</v>
      </c>
      <c r="L215" s="59">
        <f t="shared" si="116"/>
        <v>-5000</v>
      </c>
      <c r="M215" s="59">
        <f t="shared" si="116"/>
        <v>-2000</v>
      </c>
      <c r="N215" s="59">
        <f t="shared" si="116"/>
        <v>-6000</v>
      </c>
      <c r="O215" s="59">
        <f t="shared" si="116"/>
        <v>-6000</v>
      </c>
      <c r="P215" s="59">
        <f t="shared" si="116"/>
        <v>0</v>
      </c>
      <c r="Q215" s="59">
        <f t="shared" si="116"/>
        <v>-4000</v>
      </c>
      <c r="R215" s="59">
        <f t="shared" si="116"/>
        <v>-6000</v>
      </c>
      <c r="S215" s="59">
        <f t="shared" si="116"/>
        <v>-6000</v>
      </c>
      <c r="T215" s="59">
        <f t="shared" si="116"/>
        <v>-6000</v>
      </c>
      <c r="U215" s="59">
        <f t="shared" si="116"/>
        <v>-4000</v>
      </c>
      <c r="V215" s="59">
        <f t="shared" si="116"/>
        <v>-6000</v>
      </c>
      <c r="W215" s="59">
        <f t="shared" si="116"/>
        <v>-6000</v>
      </c>
      <c r="X215" s="59">
        <f t="shared" si="116"/>
        <v>-4000</v>
      </c>
      <c r="Y215" s="59">
        <f t="shared" si="116"/>
        <v>-6000</v>
      </c>
      <c r="Z215" s="59">
        <f t="shared" si="116"/>
        <v>-6000</v>
      </c>
      <c r="AA215" s="59">
        <f t="shared" si="116"/>
        <v>-4000</v>
      </c>
      <c r="AB215" s="59">
        <f t="shared" si="116"/>
        <v>-4000</v>
      </c>
      <c r="AC215" s="59">
        <f t="shared" si="116"/>
        <v>-10000</v>
      </c>
      <c r="AD215" s="59">
        <f t="shared" si="116"/>
        <v>-4000</v>
      </c>
      <c r="AE215" s="59">
        <f t="shared" si="116"/>
        <v>-4000</v>
      </c>
      <c r="AF215" s="59">
        <f t="shared" si="116"/>
        <v>-8000</v>
      </c>
      <c r="AG215" s="59">
        <f t="shared" si="116"/>
        <v>-4000</v>
      </c>
      <c r="AH215" s="59">
        <f t="shared" si="116"/>
        <v>-6000</v>
      </c>
      <c r="AI215" s="59">
        <f t="shared" si="116"/>
        <v>-6000</v>
      </c>
      <c r="AJ215" s="59">
        <f t="shared" si="116"/>
        <v>-4000</v>
      </c>
      <c r="AK215" s="59">
        <f t="shared" si="116"/>
        <v>-6000</v>
      </c>
      <c r="AL215" s="59">
        <f t="shared" si="116"/>
        <v>-8000</v>
      </c>
      <c r="AM215" s="59">
        <f t="shared" si="116"/>
        <v>-4000</v>
      </c>
      <c r="AN215" s="59">
        <f t="shared" si="116"/>
        <v>-4000</v>
      </c>
      <c r="AO215" s="59">
        <f t="shared" si="116"/>
        <v>-8000</v>
      </c>
      <c r="AP215" s="59">
        <f t="shared" si="116"/>
        <v>-4000</v>
      </c>
      <c r="AQ215" s="59">
        <f t="shared" si="116"/>
        <v>-6000</v>
      </c>
      <c r="AR215" s="59">
        <f t="shared" si="116"/>
        <v>-6000</v>
      </c>
      <c r="AS215" s="59">
        <f t="shared" si="116"/>
        <v>0</v>
      </c>
      <c r="AT215" s="59">
        <f t="shared" si="116"/>
        <v>0</v>
      </c>
      <c r="AU215" s="59">
        <f t="shared" si="116"/>
        <v>0</v>
      </c>
      <c r="AV215" s="59">
        <f t="shared" si="116"/>
        <v>0</v>
      </c>
      <c r="AW215" s="59">
        <f t="shared" si="116"/>
        <v>0</v>
      </c>
      <c r="AX215" s="59">
        <f t="shared" si="116"/>
        <v>0</v>
      </c>
      <c r="AY215" s="59">
        <f t="shared" si="116"/>
        <v>0</v>
      </c>
      <c r="AZ215" s="59">
        <f t="shared" si="116"/>
        <v>0</v>
      </c>
      <c r="BA215" s="59">
        <f t="shared" si="116"/>
        <v>0</v>
      </c>
      <c r="BB215" s="59">
        <f t="shared" si="116"/>
        <v>0</v>
      </c>
      <c r="BC215" s="59">
        <f t="shared" si="116"/>
        <v>0</v>
      </c>
      <c r="BD215" s="59">
        <f t="shared" si="116"/>
        <v>0</v>
      </c>
      <c r="BE215" s="59">
        <f t="shared" si="116"/>
        <v>0</v>
      </c>
      <c r="BF215" s="59">
        <f t="shared" si="116"/>
        <v>0</v>
      </c>
      <c r="BG215" s="59">
        <f t="shared" si="116"/>
        <v>0</v>
      </c>
      <c r="BH215" s="59">
        <f t="shared" si="116"/>
        <v>0</v>
      </c>
      <c r="BI215" s="59">
        <f t="shared" si="116"/>
        <v>0</v>
      </c>
      <c r="BJ215" s="59">
        <f t="shared" si="116"/>
        <v>0</v>
      </c>
      <c r="BK215" s="59">
        <f t="shared" si="116"/>
        <v>0</v>
      </c>
      <c r="BL215" s="59">
        <f t="shared" si="116"/>
        <v>0</v>
      </c>
      <c r="BM215" s="59">
        <f t="shared" si="116"/>
        <v>0</v>
      </c>
      <c r="BN215" s="59">
        <f t="shared" si="116"/>
        <v>0</v>
      </c>
      <c r="BO215" s="59">
        <f t="shared" si="116"/>
        <v>0</v>
      </c>
      <c r="BP215" s="59">
        <f t="shared" si="116"/>
        <v>0</v>
      </c>
    </row>
    <row r="216" spans="4:68" x14ac:dyDescent="0.2">
      <c r="D216" s="4"/>
      <c r="I216" s="55"/>
      <c r="J216" s="55"/>
      <c r="K216" s="55"/>
      <c r="L216" s="55"/>
      <c r="M216" s="55"/>
      <c r="N216" s="55"/>
      <c r="O216" s="55"/>
      <c r="P216" s="55"/>
      <c r="Q216" s="55"/>
      <c r="R216" s="55"/>
      <c r="S216" s="55"/>
      <c r="T216" s="55"/>
      <c r="U216" s="55"/>
      <c r="V216" s="55"/>
      <c r="W216" s="55"/>
      <c r="X216" s="55"/>
      <c r="Y216" s="55"/>
      <c r="Z216" s="55"/>
      <c r="AA216" s="55"/>
      <c r="AB216" s="55"/>
      <c r="AC216" s="55"/>
      <c r="AD216" s="55"/>
      <c r="AE216" s="55"/>
      <c r="AF216" s="55"/>
      <c r="AG216" s="55"/>
      <c r="AH216" s="55"/>
      <c r="AI216" s="55"/>
      <c r="AJ216" s="55"/>
      <c r="AK216" s="55"/>
      <c r="AL216" s="55"/>
      <c r="AM216" s="55"/>
      <c r="AN216" s="55"/>
      <c r="AO216" s="55"/>
      <c r="AP216" s="55"/>
      <c r="AQ216" s="55"/>
      <c r="AR216" s="55"/>
      <c r="AS216" s="55"/>
      <c r="AT216" s="55"/>
      <c r="AU216" s="55"/>
      <c r="AV216" s="55"/>
      <c r="AW216" s="55"/>
      <c r="AX216" s="55"/>
      <c r="AY216" s="55"/>
      <c r="AZ216" s="55"/>
      <c r="BA216" s="55"/>
      <c r="BB216" s="55"/>
      <c r="BC216" s="55"/>
      <c r="BD216" s="55"/>
      <c r="BE216" s="55"/>
      <c r="BF216" s="55"/>
      <c r="BG216" s="55"/>
      <c r="BH216" s="55"/>
      <c r="BI216" s="55"/>
      <c r="BJ216" s="55"/>
      <c r="BK216" s="55"/>
      <c r="BL216" s="55"/>
      <c r="BM216" s="55"/>
      <c r="BN216" s="55"/>
      <c r="BO216" s="55"/>
      <c r="BP216" s="55"/>
    </row>
    <row r="217" spans="4:68" x14ac:dyDescent="0.2">
      <c r="D217" s="4" t="s">
        <v>187</v>
      </c>
      <c r="I217" s="55"/>
      <c r="J217" s="55"/>
      <c r="K217" s="55"/>
      <c r="L217" s="55"/>
      <c r="M217" s="55"/>
      <c r="N217" s="55"/>
      <c r="O217" s="55"/>
      <c r="P217" s="55"/>
      <c r="Q217" s="55"/>
      <c r="R217" s="55"/>
      <c r="S217" s="55"/>
      <c r="T217" s="55"/>
      <c r="U217" s="55"/>
      <c r="V217" s="55"/>
      <c r="W217" s="55"/>
      <c r="X217" s="55"/>
      <c r="Y217" s="55"/>
      <c r="Z217" s="55"/>
      <c r="AA217" s="55"/>
      <c r="AB217" s="55"/>
      <c r="AC217" s="55"/>
      <c r="AD217" s="55"/>
      <c r="AE217" s="55"/>
      <c r="AF217" s="55"/>
      <c r="AG217" s="55"/>
      <c r="AH217" s="55"/>
      <c r="AI217" s="55"/>
      <c r="AJ217" s="55"/>
      <c r="AK217" s="55"/>
      <c r="AL217" s="55"/>
      <c r="AM217" s="55"/>
      <c r="AN217" s="55"/>
      <c r="AO217" s="55"/>
      <c r="AP217" s="55"/>
      <c r="AQ217" s="55"/>
      <c r="AR217" s="55"/>
      <c r="AS217" s="55"/>
      <c r="AT217" s="55"/>
      <c r="AU217" s="55"/>
      <c r="AV217" s="55"/>
      <c r="AW217" s="55"/>
      <c r="AX217" s="55"/>
      <c r="AY217" s="55"/>
      <c r="AZ217" s="55"/>
      <c r="BA217" s="55"/>
      <c r="BB217" s="55"/>
      <c r="BC217" s="55"/>
      <c r="BD217" s="55"/>
      <c r="BE217" s="55"/>
      <c r="BF217" s="55"/>
      <c r="BG217" s="55"/>
      <c r="BH217" s="55"/>
      <c r="BI217" s="55"/>
      <c r="BJ217" s="55"/>
      <c r="BK217" s="55"/>
      <c r="BL217" s="55"/>
      <c r="BM217" s="55"/>
      <c r="BN217" s="55"/>
      <c r="BO217" s="55"/>
      <c r="BP217" s="55"/>
    </row>
    <row r="218" spans="4:68" x14ac:dyDescent="0.2">
      <c r="D218" s="4"/>
      <c r="E218" s="1" t="s">
        <v>188</v>
      </c>
      <c r="I218" s="55">
        <f t="shared" ref="I218:AN218" si="117">-I86</f>
        <v>0</v>
      </c>
      <c r="J218" s="55">
        <f t="shared" ca="1" si="117"/>
        <v>0</v>
      </c>
      <c r="K218" s="55">
        <f t="shared" ca="1" si="117"/>
        <v>0</v>
      </c>
      <c r="L218" s="55">
        <f t="shared" ca="1" si="117"/>
        <v>-4166.67</v>
      </c>
      <c r="M218" s="55">
        <f t="shared" ca="1" si="117"/>
        <v>-4059.15</v>
      </c>
      <c r="N218" s="55">
        <f t="shared" ca="1" si="117"/>
        <v>-3951.18</v>
      </c>
      <c r="O218" s="55">
        <f t="shared" ca="1" si="117"/>
        <v>-3842.77</v>
      </c>
      <c r="P218" s="55">
        <f t="shared" ca="1" si="117"/>
        <v>-3733.9</v>
      </c>
      <c r="Q218" s="55">
        <f t="shared" ca="1" si="117"/>
        <v>-3624.58</v>
      </c>
      <c r="R218" s="55">
        <f t="shared" ca="1" si="117"/>
        <v>-3514.8</v>
      </c>
      <c r="S218" s="55">
        <f t="shared" ca="1" si="117"/>
        <v>-3404.57</v>
      </c>
      <c r="T218" s="55">
        <f t="shared" ca="1" si="117"/>
        <v>-3293.88</v>
      </c>
      <c r="U218" s="55">
        <f t="shared" ca="1" si="117"/>
        <v>-3182.72</v>
      </c>
      <c r="V218" s="55">
        <f t="shared" ca="1" si="117"/>
        <v>-3071.11</v>
      </c>
      <c r="W218" s="55">
        <f t="shared" ca="1" si="117"/>
        <v>-2959.02</v>
      </c>
      <c r="X218" s="55">
        <f t="shared" ca="1" si="117"/>
        <v>-2846.47</v>
      </c>
      <c r="Y218" s="55">
        <f t="shared" ca="1" si="117"/>
        <v>-2733.45</v>
      </c>
      <c r="Z218" s="55">
        <f t="shared" ca="1" si="117"/>
        <v>-2619.9699999999998</v>
      </c>
      <c r="AA218" s="55">
        <f t="shared" ca="1" si="117"/>
        <v>-2506</v>
      </c>
      <c r="AB218" s="55">
        <f t="shared" ca="1" si="117"/>
        <v>-2391.5700000000002</v>
      </c>
      <c r="AC218" s="55">
        <f t="shared" ca="1" si="117"/>
        <v>-2276.65</v>
      </c>
      <c r="AD218" s="55">
        <f t="shared" ca="1" si="117"/>
        <v>-2161.2600000000002</v>
      </c>
      <c r="AE218" s="55">
        <f t="shared" ca="1" si="117"/>
        <v>-2045.39</v>
      </c>
      <c r="AF218" s="55">
        <f t="shared" ca="1" si="117"/>
        <v>-1929.03</v>
      </c>
      <c r="AG218" s="55">
        <f t="shared" ca="1" si="117"/>
        <v>-1812.19</v>
      </c>
      <c r="AH218" s="55">
        <f t="shared" ca="1" si="117"/>
        <v>-1694.86</v>
      </c>
      <c r="AI218" s="55">
        <f t="shared" ca="1" si="117"/>
        <v>-1577.04</v>
      </c>
      <c r="AJ218" s="55">
        <f t="shared" ca="1" si="117"/>
        <v>-1458.74</v>
      </c>
      <c r="AK218" s="55">
        <f t="shared" ca="1" si="117"/>
        <v>-1339.94</v>
      </c>
      <c r="AL218" s="55">
        <f t="shared" ca="1" si="117"/>
        <v>-1220.6400000000001</v>
      </c>
      <c r="AM218" s="55">
        <f t="shared" ca="1" si="117"/>
        <v>-1100.8499999999999</v>
      </c>
      <c r="AN218" s="55">
        <f t="shared" ca="1" si="117"/>
        <v>-980.56</v>
      </c>
      <c r="AO218" s="55">
        <f t="shared" ref="AO218:BP218" ca="1" si="118">-AO86</f>
        <v>-859.76</v>
      </c>
      <c r="AP218" s="55">
        <f t="shared" ca="1" si="118"/>
        <v>-738.47</v>
      </c>
      <c r="AQ218" s="55">
        <f t="shared" ca="1" si="118"/>
        <v>-616.66</v>
      </c>
      <c r="AR218" s="55">
        <f t="shared" ca="1" si="118"/>
        <v>-494.35</v>
      </c>
      <c r="AS218" s="55">
        <f t="shared" ca="1" si="118"/>
        <v>-371.54</v>
      </c>
      <c r="AT218" s="55">
        <f t="shared" ca="1" si="118"/>
        <v>-248.21</v>
      </c>
      <c r="AU218" s="55">
        <f t="shared" ca="1" si="118"/>
        <v>-124.36</v>
      </c>
      <c r="AV218" s="55">
        <f t="shared" ca="1" si="118"/>
        <v>0</v>
      </c>
      <c r="AW218" s="55">
        <f t="shared" ca="1" si="118"/>
        <v>0</v>
      </c>
      <c r="AX218" s="55">
        <f t="shared" ca="1" si="118"/>
        <v>0</v>
      </c>
      <c r="AY218" s="55">
        <f t="shared" ca="1" si="118"/>
        <v>0</v>
      </c>
      <c r="AZ218" s="55">
        <f t="shared" ca="1" si="118"/>
        <v>0</v>
      </c>
      <c r="BA218" s="55">
        <f t="shared" ca="1" si="118"/>
        <v>0</v>
      </c>
      <c r="BB218" s="55">
        <f t="shared" ca="1" si="118"/>
        <v>0</v>
      </c>
      <c r="BC218" s="55">
        <f t="shared" ca="1" si="118"/>
        <v>0</v>
      </c>
      <c r="BD218" s="55">
        <f t="shared" ca="1" si="118"/>
        <v>0</v>
      </c>
      <c r="BE218" s="55">
        <f t="shared" ca="1" si="118"/>
        <v>0</v>
      </c>
      <c r="BF218" s="55">
        <f t="shared" ca="1" si="118"/>
        <v>0</v>
      </c>
      <c r="BG218" s="55">
        <f t="shared" ca="1" si="118"/>
        <v>0</v>
      </c>
      <c r="BH218" s="55">
        <f t="shared" ca="1" si="118"/>
        <v>0</v>
      </c>
      <c r="BI218" s="55">
        <f t="shared" ca="1" si="118"/>
        <v>0</v>
      </c>
      <c r="BJ218" s="55">
        <f t="shared" ca="1" si="118"/>
        <v>0</v>
      </c>
      <c r="BK218" s="55">
        <f t="shared" ca="1" si="118"/>
        <v>0</v>
      </c>
      <c r="BL218" s="55">
        <f t="shared" ca="1" si="118"/>
        <v>0</v>
      </c>
      <c r="BM218" s="55">
        <f t="shared" ca="1" si="118"/>
        <v>0</v>
      </c>
      <c r="BN218" s="55">
        <f t="shared" ca="1" si="118"/>
        <v>0</v>
      </c>
      <c r="BO218" s="55">
        <f t="shared" ca="1" si="118"/>
        <v>0</v>
      </c>
      <c r="BP218" s="55">
        <f t="shared" ca="1" si="118"/>
        <v>0</v>
      </c>
    </row>
    <row r="219" spans="4:68" x14ac:dyDescent="0.2">
      <c r="D219" s="4"/>
      <c r="E219" s="1" t="s">
        <v>189</v>
      </c>
      <c r="I219" s="55">
        <f t="shared" ref="I219:AN219" ca="1" si="119">I193</f>
        <v>1000000</v>
      </c>
      <c r="J219" s="55">
        <f t="shared" ca="1" si="119"/>
        <v>0</v>
      </c>
      <c r="K219" s="55">
        <f t="shared" ca="1" si="119"/>
        <v>0</v>
      </c>
      <c r="L219" s="55">
        <f t="shared" ca="1" si="119"/>
        <v>0</v>
      </c>
      <c r="M219" s="55">
        <f t="shared" ca="1" si="119"/>
        <v>0</v>
      </c>
      <c r="N219" s="55">
        <f t="shared" ca="1" si="119"/>
        <v>0</v>
      </c>
      <c r="O219" s="55">
        <f t="shared" ca="1" si="119"/>
        <v>0</v>
      </c>
      <c r="P219" s="55">
        <f t="shared" ca="1" si="119"/>
        <v>0</v>
      </c>
      <c r="Q219" s="55">
        <f t="shared" ca="1" si="119"/>
        <v>0</v>
      </c>
      <c r="R219" s="55">
        <f t="shared" ca="1" si="119"/>
        <v>0</v>
      </c>
      <c r="S219" s="55">
        <f t="shared" ca="1" si="119"/>
        <v>0</v>
      </c>
      <c r="T219" s="55">
        <f t="shared" ca="1" si="119"/>
        <v>0</v>
      </c>
      <c r="U219" s="55">
        <f t="shared" ca="1" si="119"/>
        <v>0</v>
      </c>
      <c r="V219" s="55">
        <f t="shared" ca="1" si="119"/>
        <v>0</v>
      </c>
      <c r="W219" s="55">
        <f t="shared" ca="1" si="119"/>
        <v>0</v>
      </c>
      <c r="X219" s="55">
        <f t="shared" ca="1" si="119"/>
        <v>0</v>
      </c>
      <c r="Y219" s="55">
        <f t="shared" ca="1" si="119"/>
        <v>0</v>
      </c>
      <c r="Z219" s="55">
        <f t="shared" ca="1" si="119"/>
        <v>0</v>
      </c>
      <c r="AA219" s="55">
        <f t="shared" ca="1" si="119"/>
        <v>0</v>
      </c>
      <c r="AB219" s="55">
        <f t="shared" ca="1" si="119"/>
        <v>0</v>
      </c>
      <c r="AC219" s="55">
        <f t="shared" ca="1" si="119"/>
        <v>0</v>
      </c>
      <c r="AD219" s="55">
        <f t="shared" ca="1" si="119"/>
        <v>0</v>
      </c>
      <c r="AE219" s="55">
        <f t="shared" ca="1" si="119"/>
        <v>0</v>
      </c>
      <c r="AF219" s="55">
        <f t="shared" ca="1" si="119"/>
        <v>0</v>
      </c>
      <c r="AG219" s="55">
        <f t="shared" ca="1" si="119"/>
        <v>0</v>
      </c>
      <c r="AH219" s="55">
        <f t="shared" ca="1" si="119"/>
        <v>0</v>
      </c>
      <c r="AI219" s="55">
        <f t="shared" ca="1" si="119"/>
        <v>0</v>
      </c>
      <c r="AJ219" s="55">
        <f t="shared" ca="1" si="119"/>
        <v>0</v>
      </c>
      <c r="AK219" s="55">
        <f t="shared" ca="1" si="119"/>
        <v>0</v>
      </c>
      <c r="AL219" s="55">
        <f t="shared" ca="1" si="119"/>
        <v>0</v>
      </c>
      <c r="AM219" s="55">
        <f t="shared" ca="1" si="119"/>
        <v>0</v>
      </c>
      <c r="AN219" s="55">
        <f t="shared" ca="1" si="119"/>
        <v>0</v>
      </c>
      <c r="AO219" s="55">
        <f t="shared" ref="AO219:BP219" ca="1" si="120">AO193</f>
        <v>0</v>
      </c>
      <c r="AP219" s="55">
        <f t="shared" ca="1" si="120"/>
        <v>0</v>
      </c>
      <c r="AQ219" s="55">
        <f t="shared" ca="1" si="120"/>
        <v>0</v>
      </c>
      <c r="AR219" s="55">
        <f t="shared" ca="1" si="120"/>
        <v>0</v>
      </c>
      <c r="AS219" s="55">
        <f t="shared" ca="1" si="120"/>
        <v>0</v>
      </c>
      <c r="AT219" s="55">
        <f t="shared" ca="1" si="120"/>
        <v>0</v>
      </c>
      <c r="AU219" s="55">
        <f t="shared" ca="1" si="120"/>
        <v>0</v>
      </c>
      <c r="AV219" s="55">
        <f t="shared" ca="1" si="120"/>
        <v>0</v>
      </c>
      <c r="AW219" s="55">
        <f t="shared" ca="1" si="120"/>
        <v>0</v>
      </c>
      <c r="AX219" s="55">
        <f t="shared" ca="1" si="120"/>
        <v>0</v>
      </c>
      <c r="AY219" s="55">
        <f t="shared" ca="1" si="120"/>
        <v>0</v>
      </c>
      <c r="AZ219" s="55">
        <f t="shared" ca="1" si="120"/>
        <v>0</v>
      </c>
      <c r="BA219" s="55">
        <f t="shared" ca="1" si="120"/>
        <v>0</v>
      </c>
      <c r="BB219" s="55">
        <f t="shared" ca="1" si="120"/>
        <v>0</v>
      </c>
      <c r="BC219" s="55">
        <f t="shared" ca="1" si="120"/>
        <v>0</v>
      </c>
      <c r="BD219" s="55">
        <f t="shared" ca="1" si="120"/>
        <v>0</v>
      </c>
      <c r="BE219" s="55">
        <f t="shared" ca="1" si="120"/>
        <v>0</v>
      </c>
      <c r="BF219" s="55">
        <f t="shared" ca="1" si="120"/>
        <v>0</v>
      </c>
      <c r="BG219" s="55">
        <f t="shared" ca="1" si="120"/>
        <v>0</v>
      </c>
      <c r="BH219" s="55">
        <f t="shared" ca="1" si="120"/>
        <v>0</v>
      </c>
      <c r="BI219" s="55">
        <f t="shared" ca="1" si="120"/>
        <v>0</v>
      </c>
      <c r="BJ219" s="55">
        <f t="shared" ca="1" si="120"/>
        <v>0</v>
      </c>
      <c r="BK219" s="55">
        <f t="shared" ca="1" si="120"/>
        <v>0</v>
      </c>
      <c r="BL219" s="55">
        <f t="shared" ca="1" si="120"/>
        <v>0</v>
      </c>
      <c r="BM219" s="55">
        <f t="shared" ca="1" si="120"/>
        <v>0</v>
      </c>
      <c r="BN219" s="55">
        <f t="shared" ca="1" si="120"/>
        <v>0</v>
      </c>
      <c r="BO219" s="55">
        <f t="shared" ca="1" si="120"/>
        <v>0</v>
      </c>
      <c r="BP219" s="55">
        <f t="shared" ca="1" si="120"/>
        <v>0</v>
      </c>
    </row>
    <row r="220" spans="4:68" x14ac:dyDescent="0.2">
      <c r="D220" s="4"/>
      <c r="E220" s="1" t="s">
        <v>190</v>
      </c>
      <c r="I220" s="55">
        <f t="shared" ref="I220:AN220" si="121">I194</f>
        <v>0</v>
      </c>
      <c r="J220" s="55">
        <f t="shared" si="121"/>
        <v>0</v>
      </c>
      <c r="K220" s="55">
        <f t="shared" si="121"/>
        <v>0</v>
      </c>
      <c r="L220" s="55">
        <f t="shared" si="121"/>
        <v>0</v>
      </c>
      <c r="M220" s="55">
        <f t="shared" si="121"/>
        <v>0</v>
      </c>
      <c r="N220" s="55">
        <f t="shared" si="121"/>
        <v>0</v>
      </c>
      <c r="O220" s="55">
        <f t="shared" si="121"/>
        <v>0</v>
      </c>
      <c r="P220" s="55">
        <f t="shared" si="121"/>
        <v>0</v>
      </c>
      <c r="Q220" s="55">
        <f t="shared" si="121"/>
        <v>0</v>
      </c>
      <c r="R220" s="55">
        <f t="shared" si="121"/>
        <v>0</v>
      </c>
      <c r="S220" s="55">
        <f t="shared" si="121"/>
        <v>0</v>
      </c>
      <c r="T220" s="55">
        <f t="shared" si="121"/>
        <v>0</v>
      </c>
      <c r="U220" s="55">
        <f t="shared" si="121"/>
        <v>0</v>
      </c>
      <c r="V220" s="55">
        <f t="shared" si="121"/>
        <v>0</v>
      </c>
      <c r="W220" s="55">
        <f t="shared" si="121"/>
        <v>0</v>
      </c>
      <c r="X220" s="55">
        <f t="shared" si="121"/>
        <v>0</v>
      </c>
      <c r="Y220" s="55">
        <f t="shared" si="121"/>
        <v>0</v>
      </c>
      <c r="Z220" s="55">
        <f t="shared" si="121"/>
        <v>0</v>
      </c>
      <c r="AA220" s="55">
        <f t="shared" si="121"/>
        <v>0</v>
      </c>
      <c r="AB220" s="55">
        <f t="shared" si="121"/>
        <v>0</v>
      </c>
      <c r="AC220" s="55">
        <f t="shared" si="121"/>
        <v>0</v>
      </c>
      <c r="AD220" s="55">
        <f t="shared" si="121"/>
        <v>0</v>
      </c>
      <c r="AE220" s="55">
        <f t="shared" si="121"/>
        <v>0</v>
      </c>
      <c r="AF220" s="55">
        <f t="shared" si="121"/>
        <v>0</v>
      </c>
      <c r="AG220" s="55">
        <f t="shared" si="121"/>
        <v>0</v>
      </c>
      <c r="AH220" s="55">
        <f t="shared" si="121"/>
        <v>0</v>
      </c>
      <c r="AI220" s="55">
        <f t="shared" si="121"/>
        <v>0</v>
      </c>
      <c r="AJ220" s="55">
        <f t="shared" si="121"/>
        <v>0</v>
      </c>
      <c r="AK220" s="55">
        <f t="shared" si="121"/>
        <v>0</v>
      </c>
      <c r="AL220" s="55">
        <f t="shared" si="121"/>
        <v>0</v>
      </c>
      <c r="AM220" s="55">
        <f t="shared" si="121"/>
        <v>0</v>
      </c>
      <c r="AN220" s="55">
        <f t="shared" si="121"/>
        <v>0</v>
      </c>
      <c r="AO220" s="55">
        <f t="shared" ref="AO220:BP220" si="122">AO194</f>
        <v>0</v>
      </c>
      <c r="AP220" s="55">
        <f t="shared" si="122"/>
        <v>0</v>
      </c>
      <c r="AQ220" s="55">
        <f t="shared" si="122"/>
        <v>0</v>
      </c>
      <c r="AR220" s="55">
        <f t="shared" si="122"/>
        <v>0</v>
      </c>
      <c r="AS220" s="55">
        <f t="shared" si="122"/>
        <v>0</v>
      </c>
      <c r="AT220" s="55">
        <f t="shared" si="122"/>
        <v>0</v>
      </c>
      <c r="AU220" s="55">
        <f t="shared" si="122"/>
        <v>0</v>
      </c>
      <c r="AV220" s="55">
        <f t="shared" si="122"/>
        <v>0</v>
      </c>
      <c r="AW220" s="55">
        <f t="shared" si="122"/>
        <v>0</v>
      </c>
      <c r="AX220" s="55">
        <f t="shared" si="122"/>
        <v>0</v>
      </c>
      <c r="AY220" s="55">
        <f t="shared" si="122"/>
        <v>0</v>
      </c>
      <c r="AZ220" s="55">
        <f t="shared" si="122"/>
        <v>0</v>
      </c>
      <c r="BA220" s="55">
        <f t="shared" si="122"/>
        <v>0</v>
      </c>
      <c r="BB220" s="55">
        <f t="shared" si="122"/>
        <v>0</v>
      </c>
      <c r="BC220" s="55">
        <f t="shared" si="122"/>
        <v>0</v>
      </c>
      <c r="BD220" s="55">
        <f t="shared" si="122"/>
        <v>0</v>
      </c>
      <c r="BE220" s="55">
        <f t="shared" si="122"/>
        <v>0</v>
      </c>
      <c r="BF220" s="55">
        <f t="shared" si="122"/>
        <v>0</v>
      </c>
      <c r="BG220" s="55">
        <f t="shared" si="122"/>
        <v>0</v>
      </c>
      <c r="BH220" s="55">
        <f t="shared" si="122"/>
        <v>0</v>
      </c>
      <c r="BI220" s="55">
        <f t="shared" si="122"/>
        <v>0</v>
      </c>
      <c r="BJ220" s="55">
        <f t="shared" si="122"/>
        <v>0</v>
      </c>
      <c r="BK220" s="55">
        <f t="shared" si="122"/>
        <v>0</v>
      </c>
      <c r="BL220" s="55">
        <f t="shared" si="122"/>
        <v>0</v>
      </c>
      <c r="BM220" s="55">
        <f t="shared" si="122"/>
        <v>0</v>
      </c>
      <c r="BN220" s="55">
        <f t="shared" si="122"/>
        <v>0</v>
      </c>
      <c r="BO220" s="55">
        <f t="shared" si="122"/>
        <v>0</v>
      </c>
      <c r="BP220" s="55">
        <f t="shared" si="122"/>
        <v>0</v>
      </c>
    </row>
    <row r="221" spans="4:68" x14ac:dyDescent="0.2">
      <c r="D221" s="4"/>
      <c r="E221" s="1" t="s">
        <v>191</v>
      </c>
      <c r="I221" s="55">
        <f t="shared" ref="I221:AN221" ca="1" si="123">I180</f>
        <v>0</v>
      </c>
      <c r="J221" s="55">
        <f t="shared" ca="1" si="123"/>
        <v>0</v>
      </c>
      <c r="K221" s="55">
        <f t="shared" ca="1" si="123"/>
        <v>1000000</v>
      </c>
      <c r="L221" s="55">
        <f t="shared" ca="1" si="123"/>
        <v>0</v>
      </c>
      <c r="M221" s="55">
        <f t="shared" ca="1" si="123"/>
        <v>0</v>
      </c>
      <c r="N221" s="55">
        <f t="shared" ca="1" si="123"/>
        <v>0</v>
      </c>
      <c r="O221" s="55">
        <f t="shared" ca="1" si="123"/>
        <v>0</v>
      </c>
      <c r="P221" s="55">
        <f t="shared" ca="1" si="123"/>
        <v>0</v>
      </c>
      <c r="Q221" s="55">
        <f t="shared" ca="1" si="123"/>
        <v>0</v>
      </c>
      <c r="R221" s="55">
        <f t="shared" ca="1" si="123"/>
        <v>0</v>
      </c>
      <c r="S221" s="55">
        <f t="shared" ca="1" si="123"/>
        <v>0</v>
      </c>
      <c r="T221" s="55">
        <f t="shared" ca="1" si="123"/>
        <v>0</v>
      </c>
      <c r="U221" s="55">
        <f t="shared" ca="1" si="123"/>
        <v>0</v>
      </c>
      <c r="V221" s="55">
        <f t="shared" ca="1" si="123"/>
        <v>0</v>
      </c>
      <c r="W221" s="55">
        <f t="shared" ca="1" si="123"/>
        <v>0</v>
      </c>
      <c r="X221" s="55">
        <f t="shared" ca="1" si="123"/>
        <v>0</v>
      </c>
      <c r="Y221" s="55">
        <f t="shared" ca="1" si="123"/>
        <v>0</v>
      </c>
      <c r="Z221" s="55">
        <f t="shared" ca="1" si="123"/>
        <v>0</v>
      </c>
      <c r="AA221" s="55">
        <f t="shared" ca="1" si="123"/>
        <v>0</v>
      </c>
      <c r="AB221" s="55">
        <f t="shared" ca="1" si="123"/>
        <v>0</v>
      </c>
      <c r="AC221" s="55">
        <f t="shared" ca="1" si="123"/>
        <v>0</v>
      </c>
      <c r="AD221" s="55">
        <f t="shared" ca="1" si="123"/>
        <v>0</v>
      </c>
      <c r="AE221" s="55">
        <f t="shared" ca="1" si="123"/>
        <v>0</v>
      </c>
      <c r="AF221" s="55">
        <f t="shared" ca="1" si="123"/>
        <v>0</v>
      </c>
      <c r="AG221" s="55">
        <f t="shared" ca="1" si="123"/>
        <v>0</v>
      </c>
      <c r="AH221" s="55">
        <f t="shared" ca="1" si="123"/>
        <v>0</v>
      </c>
      <c r="AI221" s="55">
        <f t="shared" ca="1" si="123"/>
        <v>0</v>
      </c>
      <c r="AJ221" s="55">
        <f t="shared" ca="1" si="123"/>
        <v>0</v>
      </c>
      <c r="AK221" s="55">
        <f t="shared" ca="1" si="123"/>
        <v>0</v>
      </c>
      <c r="AL221" s="55">
        <f t="shared" ca="1" si="123"/>
        <v>0</v>
      </c>
      <c r="AM221" s="55">
        <f t="shared" ca="1" si="123"/>
        <v>0</v>
      </c>
      <c r="AN221" s="55">
        <f t="shared" ca="1" si="123"/>
        <v>0</v>
      </c>
      <c r="AO221" s="55">
        <f t="shared" ref="AO221:BP221" ca="1" si="124">AO180</f>
        <v>0</v>
      </c>
      <c r="AP221" s="55">
        <f t="shared" ca="1" si="124"/>
        <v>0</v>
      </c>
      <c r="AQ221" s="55">
        <f t="shared" ca="1" si="124"/>
        <v>0</v>
      </c>
      <c r="AR221" s="55">
        <f t="shared" ca="1" si="124"/>
        <v>0</v>
      </c>
      <c r="AS221" s="55">
        <f t="shared" ca="1" si="124"/>
        <v>0</v>
      </c>
      <c r="AT221" s="55">
        <f t="shared" ca="1" si="124"/>
        <v>0</v>
      </c>
      <c r="AU221" s="55">
        <f t="shared" ca="1" si="124"/>
        <v>0</v>
      </c>
      <c r="AV221" s="55">
        <f t="shared" ca="1" si="124"/>
        <v>0</v>
      </c>
      <c r="AW221" s="55">
        <f t="shared" ca="1" si="124"/>
        <v>0</v>
      </c>
      <c r="AX221" s="55">
        <f t="shared" ca="1" si="124"/>
        <v>0</v>
      </c>
      <c r="AY221" s="55">
        <f t="shared" ca="1" si="124"/>
        <v>0</v>
      </c>
      <c r="AZ221" s="55">
        <f t="shared" ca="1" si="124"/>
        <v>0</v>
      </c>
      <c r="BA221" s="55">
        <f t="shared" ca="1" si="124"/>
        <v>0</v>
      </c>
      <c r="BB221" s="55">
        <f t="shared" ca="1" si="124"/>
        <v>0</v>
      </c>
      <c r="BC221" s="55">
        <f t="shared" ca="1" si="124"/>
        <v>0</v>
      </c>
      <c r="BD221" s="55">
        <f t="shared" ca="1" si="124"/>
        <v>0</v>
      </c>
      <c r="BE221" s="55">
        <f t="shared" ca="1" si="124"/>
        <v>0</v>
      </c>
      <c r="BF221" s="55">
        <f t="shared" ca="1" si="124"/>
        <v>0</v>
      </c>
      <c r="BG221" s="55">
        <f t="shared" ca="1" si="124"/>
        <v>0</v>
      </c>
      <c r="BH221" s="55">
        <f t="shared" ca="1" si="124"/>
        <v>0</v>
      </c>
      <c r="BI221" s="55">
        <f t="shared" ca="1" si="124"/>
        <v>0</v>
      </c>
      <c r="BJ221" s="55">
        <f t="shared" ca="1" si="124"/>
        <v>0</v>
      </c>
      <c r="BK221" s="55">
        <f t="shared" ca="1" si="124"/>
        <v>0</v>
      </c>
      <c r="BL221" s="55">
        <f t="shared" ca="1" si="124"/>
        <v>0</v>
      </c>
      <c r="BM221" s="55">
        <f t="shared" ca="1" si="124"/>
        <v>0</v>
      </c>
      <c r="BN221" s="55">
        <f t="shared" ca="1" si="124"/>
        <v>0</v>
      </c>
      <c r="BO221" s="55">
        <f t="shared" ca="1" si="124"/>
        <v>0</v>
      </c>
      <c r="BP221" s="55">
        <f t="shared" ca="1" si="124"/>
        <v>0</v>
      </c>
    </row>
    <row r="222" spans="4:68" x14ac:dyDescent="0.2">
      <c r="D222" s="4"/>
      <c r="E222" s="1" t="s">
        <v>192</v>
      </c>
      <c r="I222" s="55">
        <f t="shared" ref="I222:AN222" si="125">I183</f>
        <v>0</v>
      </c>
      <c r="J222" s="55">
        <f t="shared" ca="1" si="125"/>
        <v>0</v>
      </c>
      <c r="K222" s="55">
        <f t="shared" ca="1" si="125"/>
        <v>0</v>
      </c>
      <c r="L222" s="55">
        <f t="shared" ca="1" si="125"/>
        <v>-25804.230437998809</v>
      </c>
      <c r="M222" s="55">
        <f t="shared" ca="1" si="125"/>
        <v>-25911.748064823805</v>
      </c>
      <c r="N222" s="55">
        <f t="shared" ca="1" si="125"/>
        <v>-26019.713681760571</v>
      </c>
      <c r="O222" s="55">
        <f t="shared" ca="1" si="125"/>
        <v>-26128.129155434573</v>
      </c>
      <c r="P222" s="55">
        <f t="shared" ca="1" si="125"/>
        <v>-26236.996360248882</v>
      </c>
      <c r="Q222" s="55">
        <f t="shared" ca="1" si="125"/>
        <v>-26346.317178416586</v>
      </c>
      <c r="R222" s="55">
        <f t="shared" ca="1" si="125"/>
        <v>-26456.093499993323</v>
      </c>
      <c r="S222" s="55">
        <f t="shared" ca="1" si="125"/>
        <v>-26566.32722290996</v>
      </c>
      <c r="T222" s="55">
        <f t="shared" ca="1" si="125"/>
        <v>-26677.020253005419</v>
      </c>
      <c r="U222" s="55">
        <f t="shared" ca="1" si="125"/>
        <v>-26788.174504059611</v>
      </c>
      <c r="V222" s="55">
        <f t="shared" ca="1" si="125"/>
        <v>-26899.791897826526</v>
      </c>
      <c r="W222" s="55">
        <f t="shared" ca="1" si="125"/>
        <v>-27011.874364067469</v>
      </c>
      <c r="X222" s="55">
        <f t="shared" ca="1" si="125"/>
        <v>-27124.423840584415</v>
      </c>
      <c r="Y222" s="55">
        <f t="shared" ca="1" si="125"/>
        <v>-27237.442273253517</v>
      </c>
      <c r="Z222" s="55">
        <f t="shared" ca="1" si="125"/>
        <v>-27350.93161605874</v>
      </c>
      <c r="AA222" s="55">
        <f t="shared" ca="1" si="125"/>
        <v>-27464.893831125653</v>
      </c>
      <c r="AB222" s="55">
        <f t="shared" ca="1" si="125"/>
        <v>-27579.330888755343</v>
      </c>
      <c r="AC222" s="55">
        <f t="shared" ca="1" si="125"/>
        <v>-27694.244767458491</v>
      </c>
      <c r="AD222" s="55">
        <f t="shared" ca="1" si="125"/>
        <v>-27809.637453989566</v>
      </c>
      <c r="AE222" s="55">
        <f t="shared" ca="1" si="125"/>
        <v>-27925.510943381189</v>
      </c>
      <c r="AF222" s="55">
        <f t="shared" ca="1" si="125"/>
        <v>-28041.867238978612</v>
      </c>
      <c r="AG222" s="55">
        <f t="shared" ca="1" si="125"/>
        <v>-28158.708352474358</v>
      </c>
      <c r="AH222" s="55">
        <f t="shared" ca="1" si="125"/>
        <v>-28276.036303942998</v>
      </c>
      <c r="AI222" s="55">
        <f t="shared" ca="1" si="125"/>
        <v>-28393.853121876095</v>
      </c>
      <c r="AJ222" s="55">
        <f t="shared" ca="1" si="125"/>
        <v>-28512.160843217247</v>
      </c>
      <c r="AK222" s="55">
        <f t="shared" ca="1" si="125"/>
        <v>-28630.961513397317</v>
      </c>
      <c r="AL222" s="55">
        <f t="shared" ca="1" si="125"/>
        <v>-28750.257186369807</v>
      </c>
      <c r="AM222" s="55">
        <f t="shared" ca="1" si="125"/>
        <v>-28870.049924646348</v>
      </c>
      <c r="AN222" s="55">
        <f t="shared" ca="1" si="125"/>
        <v>-28990.341799332375</v>
      </c>
      <c r="AO222" s="55">
        <f t="shared" ref="AO222:BP222" ca="1" si="126">AO183</f>
        <v>-29111.134890162924</v>
      </c>
      <c r="AP222" s="55">
        <f t="shared" ca="1" si="126"/>
        <v>-29232.431285538605</v>
      </c>
      <c r="AQ222" s="55">
        <f t="shared" ca="1" si="126"/>
        <v>-29354.233082561681</v>
      </c>
      <c r="AR222" s="55">
        <f t="shared" ca="1" si="126"/>
        <v>-29476.542387072353</v>
      </c>
      <c r="AS222" s="55">
        <f t="shared" ca="1" si="126"/>
        <v>-29599.361313685156</v>
      </c>
      <c r="AT222" s="55">
        <f t="shared" ca="1" si="126"/>
        <v>-29722.69198582551</v>
      </c>
      <c r="AU222" s="55">
        <f t="shared" ca="1" si="126"/>
        <v>-29846.536535766452</v>
      </c>
      <c r="AV222" s="55">
        <f t="shared" ca="1" si="126"/>
        <v>-9.7012768189112344E-13</v>
      </c>
      <c r="AW222" s="55">
        <f t="shared" ca="1" si="126"/>
        <v>-9.7416988056566981E-13</v>
      </c>
      <c r="AX222" s="55">
        <f t="shared" ca="1" si="126"/>
        <v>-9.7822892173469357E-13</v>
      </c>
      <c r="AY222" s="55">
        <f t="shared" ca="1" si="126"/>
        <v>-9.8230487557525479E-13</v>
      </c>
      <c r="AZ222" s="55">
        <f t="shared" ca="1" si="126"/>
        <v>-9.8639781255681825E-13</v>
      </c>
      <c r="BA222" s="55">
        <f t="shared" ca="1" si="126"/>
        <v>-9.9050780344247179E-13</v>
      </c>
      <c r="BB222" s="55">
        <f t="shared" ca="1" si="126"/>
        <v>-9.9463491929014872E-13</v>
      </c>
      <c r="BC222" s="55">
        <f t="shared" ca="1" si="126"/>
        <v>-9.9877923145385768E-13</v>
      </c>
      <c r="BD222" s="55">
        <f t="shared" ca="1" si="126"/>
        <v>-1.0029408115849153E-12</v>
      </c>
      <c r="BE222" s="55">
        <f t="shared" ca="1" si="126"/>
        <v>-1.0071197316331859E-12</v>
      </c>
      <c r="BF222" s="55">
        <f t="shared" ca="1" si="126"/>
        <v>-1.0113160638483241E-12</v>
      </c>
      <c r="BG222" s="55">
        <f t="shared" ca="1" si="126"/>
        <v>-1.0155298807810253E-12</v>
      </c>
      <c r="BH222" s="55">
        <f t="shared" ca="1" si="126"/>
        <v>-1.0197612552842798E-12</v>
      </c>
      <c r="BI222" s="55">
        <f t="shared" ca="1" si="126"/>
        <v>-1.024010260514631E-12</v>
      </c>
      <c r="BJ222" s="55">
        <f t="shared" ca="1" si="126"/>
        <v>-1.0282769699334418E-12</v>
      </c>
      <c r="BK222" s="55">
        <f t="shared" ca="1" si="126"/>
        <v>-1.0325614573081646E-12</v>
      </c>
      <c r="BL222" s="55">
        <f t="shared" ca="1" si="126"/>
        <v>-1.0368637967136151E-12</v>
      </c>
      <c r="BM222" s="55">
        <f t="shared" ca="1" si="126"/>
        <v>-1.0411840625332554E-12</v>
      </c>
      <c r="BN222" s="55">
        <f t="shared" ca="1" si="126"/>
        <v>-1.045522329460477E-12</v>
      </c>
      <c r="BO222" s="55">
        <f t="shared" ca="1" si="126"/>
        <v>-1.0498786724998957E-12</v>
      </c>
      <c r="BP222" s="55">
        <f t="shared" ca="1" si="126"/>
        <v>-1.0542531669686452E-12</v>
      </c>
    </row>
    <row r="223" spans="4:68" x14ac:dyDescent="0.2">
      <c r="D223" s="4"/>
      <c r="E223" s="1" t="s">
        <v>193</v>
      </c>
      <c r="I223" s="55">
        <f>I175</f>
        <v>0</v>
      </c>
      <c r="J223" s="55">
        <f t="shared" ref="J223:BP223" ca="1" si="127">J175</f>
        <v>0</v>
      </c>
      <c r="K223" s="55">
        <f t="shared" ca="1" si="127"/>
        <v>0</v>
      </c>
      <c r="L223" s="55">
        <f t="shared" ca="1" si="127"/>
        <v>0</v>
      </c>
      <c r="M223" s="55">
        <f t="shared" ca="1" si="127"/>
        <v>0</v>
      </c>
      <c r="N223" s="55">
        <f t="shared" ca="1" si="127"/>
        <v>0</v>
      </c>
      <c r="O223" s="55">
        <f t="shared" ca="1" si="127"/>
        <v>0</v>
      </c>
      <c r="P223" s="55">
        <f t="shared" ca="1" si="127"/>
        <v>0</v>
      </c>
      <c r="Q223" s="55">
        <f t="shared" ca="1" si="127"/>
        <v>0</v>
      </c>
      <c r="R223" s="55">
        <f t="shared" ca="1" si="127"/>
        <v>0</v>
      </c>
      <c r="S223" s="55">
        <f t="shared" ca="1" si="127"/>
        <v>0</v>
      </c>
      <c r="T223" s="55">
        <f t="shared" ca="1" si="127"/>
        <v>0</v>
      </c>
      <c r="U223" s="55">
        <f t="shared" ca="1" si="127"/>
        <v>0</v>
      </c>
      <c r="V223" s="55">
        <f t="shared" ca="1" si="127"/>
        <v>0</v>
      </c>
      <c r="W223" s="55">
        <f t="shared" ca="1" si="127"/>
        <v>0</v>
      </c>
      <c r="X223" s="55">
        <f t="shared" ca="1" si="127"/>
        <v>0</v>
      </c>
      <c r="Y223" s="55">
        <f t="shared" ca="1" si="127"/>
        <v>0</v>
      </c>
      <c r="Z223" s="55">
        <f t="shared" ca="1" si="127"/>
        <v>0</v>
      </c>
      <c r="AA223" s="55">
        <f t="shared" ca="1" si="127"/>
        <v>0</v>
      </c>
      <c r="AB223" s="55">
        <f t="shared" ca="1" si="127"/>
        <v>0</v>
      </c>
      <c r="AC223" s="55">
        <f t="shared" ca="1" si="127"/>
        <v>0</v>
      </c>
      <c r="AD223" s="55">
        <f t="shared" ca="1" si="127"/>
        <v>0</v>
      </c>
      <c r="AE223" s="55">
        <f t="shared" ca="1" si="127"/>
        <v>0</v>
      </c>
      <c r="AF223" s="55">
        <f t="shared" ca="1" si="127"/>
        <v>0</v>
      </c>
      <c r="AG223" s="55">
        <f t="shared" ca="1" si="127"/>
        <v>0</v>
      </c>
      <c r="AH223" s="55">
        <f t="shared" ca="1" si="127"/>
        <v>0</v>
      </c>
      <c r="AI223" s="55">
        <f t="shared" ca="1" si="127"/>
        <v>0</v>
      </c>
      <c r="AJ223" s="55">
        <f t="shared" ca="1" si="127"/>
        <v>0</v>
      </c>
      <c r="AK223" s="55">
        <f t="shared" ca="1" si="127"/>
        <v>0</v>
      </c>
      <c r="AL223" s="55">
        <f t="shared" ca="1" si="127"/>
        <v>-67019.342700233537</v>
      </c>
      <c r="AM223" s="55">
        <f t="shared" ca="1" si="127"/>
        <v>-369750.53768576734</v>
      </c>
      <c r="AN223" s="55">
        <f t="shared" ca="1" si="127"/>
        <v>-422760.98529011256</v>
      </c>
      <c r="AO223" s="55">
        <f t="shared" ca="1" si="127"/>
        <v>-481402.38785515237</v>
      </c>
      <c r="AP223" s="55">
        <f t="shared" ca="1" si="127"/>
        <v>-541455.83445167739</v>
      </c>
      <c r="AQ223" s="55">
        <f t="shared" ca="1" si="127"/>
        <v>-613559.64146740863</v>
      </c>
      <c r="AR223" s="55">
        <f t="shared" ca="1" si="127"/>
        <v>-690310.33917260461</v>
      </c>
      <c r="AS223" s="55">
        <f t="shared" ca="1" si="127"/>
        <v>-776622.79310293496</v>
      </c>
      <c r="AT223" s="55">
        <f t="shared" ca="1" si="127"/>
        <v>-880300.34622853727</v>
      </c>
      <c r="AU223" s="55">
        <f t="shared" ca="1" si="127"/>
        <v>-994571.72208638606</v>
      </c>
      <c r="AV223" s="55">
        <f t="shared" ca="1" si="127"/>
        <v>-1120205.9689157302</v>
      </c>
      <c r="AW223" s="55">
        <f t="shared" ca="1" si="127"/>
        <v>-1258314.8035971865</v>
      </c>
      <c r="AX223" s="55">
        <f t="shared" ca="1" si="127"/>
        <v>-1410140.5478376206</v>
      </c>
      <c r="AY223" s="55">
        <f t="shared" ca="1" si="127"/>
        <v>-1577044.7785996443</v>
      </c>
      <c r="AZ223" s="55">
        <f t="shared" ca="1" si="127"/>
        <v>-1760497.7904477436</v>
      </c>
      <c r="BA223" s="55">
        <f t="shared" ca="1" si="127"/>
        <v>-1962159.6177121748</v>
      </c>
      <c r="BB223" s="55">
        <f t="shared" ca="1" si="127"/>
        <v>-2183912.878069432</v>
      </c>
      <c r="BC223" s="55">
        <f t="shared" ca="1" si="127"/>
        <v>-2427588.06121023</v>
      </c>
      <c r="BD223" s="55">
        <f t="shared" ca="1" si="127"/>
        <v>-2695440.0028853249</v>
      </c>
      <c r="BE223" s="55">
        <f t="shared" ca="1" si="127"/>
        <v>-2989904.7886011153</v>
      </c>
      <c r="BF223" s="55">
        <f t="shared" ca="1" si="127"/>
        <v>-4018825.1167840096</v>
      </c>
      <c r="BG223" s="55">
        <f t="shared" ca="1" si="127"/>
        <v>-4445474.5181711065</v>
      </c>
      <c r="BH223" s="55">
        <f t="shared" ca="1" si="127"/>
        <v>-4914429.845031647</v>
      </c>
      <c r="BI223" s="55">
        <f t="shared" ca="1" si="127"/>
        <v>-5430071.7346823383</v>
      </c>
      <c r="BJ223" s="55">
        <f t="shared" ca="1" si="127"/>
        <v>-5996957.8524787026</v>
      </c>
      <c r="BK223" s="55">
        <f t="shared" ca="1" si="127"/>
        <v>-6620044.7586788833</v>
      </c>
      <c r="BL223" s="55">
        <f t="shared" ca="1" si="127"/>
        <v>-7304816.1302351486</v>
      </c>
      <c r="BM223" s="55">
        <f t="shared" ca="1" si="127"/>
        <v>-8057438.8293397687</v>
      </c>
      <c r="BN223" s="55">
        <f t="shared" ca="1" si="127"/>
        <v>-8884670.1929431949</v>
      </c>
      <c r="BO223" s="55">
        <f t="shared" ca="1" si="127"/>
        <v>-9793795.1352373622</v>
      </c>
      <c r="BP223" s="55">
        <f t="shared" ca="1" si="127"/>
        <v>-10793007.256331393</v>
      </c>
    </row>
    <row r="224" spans="4:68" x14ac:dyDescent="0.2">
      <c r="D224" s="4"/>
      <c r="E224" s="1" t="s">
        <v>194</v>
      </c>
      <c r="I224" s="55">
        <f t="shared" ref="I224:AN224" ca="1" si="128">AVERAGE(H99,H99+I210+I215+SUM(I218:I223))*AssmCrInterest/12</f>
        <v>2848.6690574999998</v>
      </c>
      <c r="J224" s="55">
        <f t="shared" ca="1" si="128"/>
        <v>2805.9423585010422</v>
      </c>
      <c r="K224" s="55">
        <f t="shared" ca="1" si="128"/>
        <v>4102.1001021855582</v>
      </c>
      <c r="L224" s="55">
        <f t="shared" ca="1" si="128"/>
        <v>5263.633230039296</v>
      </c>
      <c r="M224" s="55">
        <f t="shared" ca="1" si="128"/>
        <v>4890.3499058102943</v>
      </c>
      <c r="N224" s="55">
        <f t="shared" ca="1" si="128"/>
        <v>4465.9025171551384</v>
      </c>
      <c r="O224" s="55">
        <f t="shared" ca="1" si="128"/>
        <v>3962.6853916092646</v>
      </c>
      <c r="P224" s="55">
        <f t="shared" ca="1" si="128"/>
        <v>3428.4515797077534</v>
      </c>
      <c r="Q224" s="55">
        <f t="shared" ca="1" si="128"/>
        <v>2872.481322626903</v>
      </c>
      <c r="R224" s="55">
        <f t="shared" ca="1" si="128"/>
        <v>2248.0552125785503</v>
      </c>
      <c r="S224" s="55">
        <f t="shared" ca="1" si="128"/>
        <v>1552.7120107554481</v>
      </c>
      <c r="T224" s="55">
        <f t="shared" ca="1" si="128"/>
        <v>796.02228891221932</v>
      </c>
      <c r="U224" s="55">
        <f t="shared" ca="1" si="128"/>
        <v>-7.9358420436178498</v>
      </c>
      <c r="V224" s="55">
        <f t="shared" ca="1" si="128"/>
        <v>-861.8808980023291</v>
      </c>
      <c r="W224" s="55">
        <f t="shared" ca="1" si="128"/>
        <v>-1770.5080182256536</v>
      </c>
      <c r="X224" s="55">
        <f t="shared" ca="1" si="128"/>
        <v>-2705.9503119105957</v>
      </c>
      <c r="Y224" s="55">
        <f t="shared" ca="1" si="128"/>
        <v>-3663.1768211807935</v>
      </c>
      <c r="Z224" s="55">
        <f t="shared" ca="1" si="128"/>
        <v>-4638.4983121644837</v>
      </c>
      <c r="AA224" s="55">
        <f t="shared" ca="1" si="128"/>
        <v>-5594.1448942132192</v>
      </c>
      <c r="AB224" s="55">
        <f t="shared" ca="1" si="128"/>
        <v>-6495.0662916211668</v>
      </c>
      <c r="AC224" s="55">
        <f t="shared" ca="1" si="128"/>
        <v>-7348.271867803709</v>
      </c>
      <c r="AD224" s="55">
        <f t="shared" ca="1" si="128"/>
        <v>-8104.5578566299691</v>
      </c>
      <c r="AE224" s="55">
        <f t="shared" ca="1" si="128"/>
        <v>-8669.5036922079726</v>
      </c>
      <c r="AF224" s="55">
        <f t="shared" ca="1" si="128"/>
        <v>-9000.4580069928543</v>
      </c>
      <c r="AG224" s="55">
        <f t="shared" ca="1" si="128"/>
        <v>-8558.4974897507836</v>
      </c>
      <c r="AH224" s="55">
        <f t="shared" ca="1" si="128"/>
        <v>-7232.2010171365</v>
      </c>
      <c r="AI224" s="55">
        <f t="shared" ca="1" si="128"/>
        <v>-5467.0978941269123</v>
      </c>
      <c r="AJ224" s="55">
        <f t="shared" ca="1" si="128"/>
        <v>-3287.4626514060997</v>
      </c>
      <c r="AK224" s="55">
        <f t="shared" ca="1" si="128"/>
        <v>-713.26077785387486</v>
      </c>
      <c r="AL224" s="55">
        <f t="shared" ca="1" si="128"/>
        <v>2135.0322858912727</v>
      </c>
      <c r="AM224" s="55">
        <f t="shared" ca="1" si="128"/>
        <v>4876.867633708639</v>
      </c>
      <c r="AN224" s="55">
        <f t="shared" ca="1" si="128"/>
        <v>7607.1528505085507</v>
      </c>
      <c r="AO224" s="55">
        <f t="shared" ref="AO224:BP224" ca="1" si="129">AVERAGE(AN99,AN99+AO210+AO215+SUM(AO218:AO223))*AssmCrInterest/12</f>
        <v>10705.008172257951</v>
      </c>
      <c r="AP224" s="55">
        <f t="shared" ca="1" si="129"/>
        <v>14224.974891362237</v>
      </c>
      <c r="AQ224" s="55">
        <f t="shared" ca="1" si="129"/>
        <v>18225.357242015452</v>
      </c>
      <c r="AR224" s="55">
        <f t="shared" ca="1" si="129"/>
        <v>22741.893676450316</v>
      </c>
      <c r="AS224" s="55">
        <f t="shared" ca="1" si="129"/>
        <v>27885.560761791192</v>
      </c>
      <c r="AT224" s="55">
        <f t="shared" ca="1" si="129"/>
        <v>33744.61695462068</v>
      </c>
      <c r="AU224" s="55">
        <f t="shared" ca="1" si="129"/>
        <v>40372.389719101739</v>
      </c>
      <c r="AV224" s="55">
        <f t="shared" ca="1" si="129"/>
        <v>47890.645323956363</v>
      </c>
      <c r="AW224" s="55">
        <f t="shared" ca="1" si="129"/>
        <v>56384.159458736569</v>
      </c>
      <c r="AX224" s="55">
        <f t="shared" ca="1" si="129"/>
        <v>65901.995332148799</v>
      </c>
      <c r="AY224" s="55">
        <f t="shared" ca="1" si="129"/>
        <v>76545.968159146549</v>
      </c>
      <c r="AZ224" s="55">
        <f t="shared" ca="1" si="129"/>
        <v>88427.992373916626</v>
      </c>
      <c r="BA224" s="55">
        <f t="shared" ca="1" si="129"/>
        <v>101671.06023144066</v>
      </c>
      <c r="BB224" s="55">
        <f t="shared" ca="1" si="129"/>
        <v>116410.20403410087</v>
      </c>
      <c r="BC224" s="55">
        <f t="shared" ca="1" si="129"/>
        <v>132793.94295108414</v>
      </c>
      <c r="BD224" s="55">
        <f t="shared" ca="1" si="129"/>
        <v>150985.5953370521</v>
      </c>
      <c r="BE224" s="55">
        <f t="shared" ca="1" si="129"/>
        <v>173125.69594670081</v>
      </c>
      <c r="BF224" s="55">
        <f t="shared" ca="1" si="129"/>
        <v>199270.32723702537</v>
      </c>
      <c r="BG224" s="55">
        <f t="shared" ca="1" si="129"/>
        <v>228240.43010549049</v>
      </c>
      <c r="BH224" s="55">
        <f t="shared" ca="1" si="129"/>
        <v>261050.46227446079</v>
      </c>
      <c r="BI224" s="55">
        <f t="shared" ca="1" si="129"/>
        <v>297700.89492901176</v>
      </c>
      <c r="BJ224" s="55">
        <f t="shared" ca="1" si="129"/>
        <v>338178.19559627824</v>
      </c>
      <c r="BK224" s="55">
        <f t="shared" ca="1" si="129"/>
        <v>382861.40745049593</v>
      </c>
      <c r="BL224" s="55">
        <f t="shared" ca="1" si="129"/>
        <v>432167.39113256027</v>
      </c>
      <c r="BM224" s="55">
        <f t="shared" ca="1" si="129"/>
        <v>486554.2964773167</v>
      </c>
      <c r="BN224" s="55">
        <f t="shared" ca="1" si="129"/>
        <v>546525.46412454627</v>
      </c>
      <c r="BO224" s="55">
        <f t="shared" ca="1" si="129"/>
        <v>612634.17443797959</v>
      </c>
      <c r="BP224" s="55">
        <f t="shared" ca="1" si="129"/>
        <v>685488.52560738591</v>
      </c>
    </row>
    <row r="225" spans="1:68" x14ac:dyDescent="0.2">
      <c r="D225" s="4" t="s">
        <v>195</v>
      </c>
      <c r="I225" s="59">
        <f ca="1">SUBTOTAL(9,I218:I224)</f>
        <v>1002848.6690575</v>
      </c>
      <c r="J225" s="59">
        <f t="shared" ref="J225:BP225" ca="1" si="130">SUBTOTAL(9,J218:J224)</f>
        <v>2805.9423585010422</v>
      </c>
      <c r="K225" s="59">
        <f t="shared" ca="1" si="130"/>
        <v>1004102.1001021855</v>
      </c>
      <c r="L225" s="59">
        <f t="shared" ca="1" si="130"/>
        <v>-24707.267207959514</v>
      </c>
      <c r="M225" s="59">
        <f t="shared" ca="1" si="130"/>
        <v>-25080.548159013513</v>
      </c>
      <c r="N225" s="59">
        <f t="shared" ca="1" si="130"/>
        <v>-25504.991164605432</v>
      </c>
      <c r="O225" s="59">
        <f t="shared" ca="1" si="130"/>
        <v>-26008.213763825308</v>
      </c>
      <c r="P225" s="59">
        <f t="shared" ca="1" si="130"/>
        <v>-26542.444780541129</v>
      </c>
      <c r="Q225" s="59">
        <f t="shared" ca="1" si="130"/>
        <v>-27098.415855789681</v>
      </c>
      <c r="R225" s="59">
        <f t="shared" ca="1" si="130"/>
        <v>-27722.838287414772</v>
      </c>
      <c r="S225" s="59">
        <f t="shared" ca="1" si="130"/>
        <v>-28418.185212154513</v>
      </c>
      <c r="T225" s="59">
        <f t="shared" ca="1" si="130"/>
        <v>-29174.877964093201</v>
      </c>
      <c r="U225" s="59">
        <f t="shared" ca="1" si="130"/>
        <v>-29978.83034610323</v>
      </c>
      <c r="V225" s="59">
        <f t="shared" ca="1" si="130"/>
        <v>-30832.782795828854</v>
      </c>
      <c r="W225" s="59">
        <f t="shared" ca="1" si="130"/>
        <v>-31741.402382293123</v>
      </c>
      <c r="X225" s="59">
        <f t="shared" ca="1" si="130"/>
        <v>-32676.84415249501</v>
      </c>
      <c r="Y225" s="59">
        <f t="shared" ca="1" si="130"/>
        <v>-33634.069094434308</v>
      </c>
      <c r="Z225" s="59">
        <f t="shared" ca="1" si="130"/>
        <v>-34609.399928223225</v>
      </c>
      <c r="AA225" s="59">
        <f t="shared" ca="1" si="130"/>
        <v>-35565.038725338876</v>
      </c>
      <c r="AB225" s="59">
        <f t="shared" ca="1" si="130"/>
        <v>-36465.967180376509</v>
      </c>
      <c r="AC225" s="59">
        <f t="shared" ca="1" si="130"/>
        <v>-37319.166635262198</v>
      </c>
      <c r="AD225" s="59">
        <f t="shared" ca="1" si="130"/>
        <v>-38075.455310619531</v>
      </c>
      <c r="AE225" s="59">
        <f t="shared" ca="1" si="130"/>
        <v>-38640.404635589162</v>
      </c>
      <c r="AF225" s="59">
        <f t="shared" ca="1" si="130"/>
        <v>-38971.355245971463</v>
      </c>
      <c r="AG225" s="59">
        <f t="shared" ca="1" si="130"/>
        <v>-38529.395842225138</v>
      </c>
      <c r="AH225" s="59">
        <f t="shared" ca="1" si="130"/>
        <v>-37203.097321079498</v>
      </c>
      <c r="AI225" s="59">
        <f t="shared" ca="1" si="130"/>
        <v>-35437.991016003005</v>
      </c>
      <c r="AJ225" s="59">
        <f t="shared" ca="1" si="130"/>
        <v>-33258.363494623351</v>
      </c>
      <c r="AK225" s="59">
        <f t="shared" ca="1" si="130"/>
        <v>-30684.162291251188</v>
      </c>
      <c r="AL225" s="59">
        <f t="shared" ca="1" si="130"/>
        <v>-94855.207600712078</v>
      </c>
      <c r="AM225" s="59">
        <f t="shared" ca="1" si="130"/>
        <v>-394844.56997670507</v>
      </c>
      <c r="AN225" s="59">
        <f t="shared" ca="1" si="130"/>
        <v>-445124.73423893633</v>
      </c>
      <c r="AO225" s="59">
        <f t="shared" ca="1" si="130"/>
        <v>-500668.27457305731</v>
      </c>
      <c r="AP225" s="59">
        <f t="shared" ca="1" si="130"/>
        <v>-557201.76084585371</v>
      </c>
      <c r="AQ225" s="59">
        <f t="shared" ca="1" si="130"/>
        <v>-625305.17730795487</v>
      </c>
      <c r="AR225" s="59">
        <f t="shared" ca="1" si="130"/>
        <v>-697539.33788322657</v>
      </c>
      <c r="AS225" s="59">
        <f t="shared" ca="1" si="130"/>
        <v>-778708.13365482888</v>
      </c>
      <c r="AT225" s="59">
        <f t="shared" ca="1" si="130"/>
        <v>-876526.63125974208</v>
      </c>
      <c r="AU225" s="59">
        <f t="shared" ca="1" si="130"/>
        <v>-984170.22890305077</v>
      </c>
      <c r="AV225" s="59">
        <f t="shared" ca="1" si="130"/>
        <v>-1072315.3235917739</v>
      </c>
      <c r="AW225" s="59">
        <f t="shared" ca="1" si="130"/>
        <v>-1201930.6441384498</v>
      </c>
      <c r="AX225" s="59">
        <f t="shared" ca="1" si="130"/>
        <v>-1344238.5525054717</v>
      </c>
      <c r="AY225" s="59">
        <f t="shared" ca="1" si="130"/>
        <v>-1500498.8104404977</v>
      </c>
      <c r="AZ225" s="59">
        <f t="shared" ca="1" si="130"/>
        <v>-1672069.7980738271</v>
      </c>
      <c r="BA225" s="59">
        <f t="shared" ca="1" si="130"/>
        <v>-1860488.5574807341</v>
      </c>
      <c r="BB225" s="59">
        <f t="shared" ca="1" si="130"/>
        <v>-2067502.6740353312</v>
      </c>
      <c r="BC225" s="59">
        <f t="shared" ca="1" si="130"/>
        <v>-2294794.1182591459</v>
      </c>
      <c r="BD225" s="59">
        <f t="shared" ca="1" si="130"/>
        <v>-2544454.407548273</v>
      </c>
      <c r="BE225" s="59">
        <f t="shared" ca="1" si="130"/>
        <v>-2816779.0926544145</v>
      </c>
      <c r="BF225" s="59">
        <f t="shared" ca="1" si="130"/>
        <v>-3819554.7895469842</v>
      </c>
      <c r="BG225" s="59">
        <f t="shared" ca="1" si="130"/>
        <v>-4217234.0880656159</v>
      </c>
      <c r="BH225" s="59">
        <f t="shared" ca="1" si="130"/>
        <v>-4653379.382757186</v>
      </c>
      <c r="BI225" s="59">
        <f t="shared" ca="1" si="130"/>
        <v>-5132370.839753327</v>
      </c>
      <c r="BJ225" s="59">
        <f t="shared" ca="1" si="130"/>
        <v>-5658779.6568824239</v>
      </c>
      <c r="BK225" s="59">
        <f t="shared" ca="1" si="130"/>
        <v>-6237183.3512283871</v>
      </c>
      <c r="BL225" s="59">
        <f t="shared" ca="1" si="130"/>
        <v>-6872648.739102588</v>
      </c>
      <c r="BM225" s="59">
        <f t="shared" ca="1" si="130"/>
        <v>-7570884.5328624519</v>
      </c>
      <c r="BN225" s="59">
        <f t="shared" ca="1" si="130"/>
        <v>-8338144.7288186485</v>
      </c>
      <c r="BO225" s="59">
        <f t="shared" ca="1" si="130"/>
        <v>-9181160.960799383</v>
      </c>
      <c r="BP225" s="59">
        <f t="shared" ca="1" si="130"/>
        <v>-10107518.730724007</v>
      </c>
    </row>
    <row r="226" spans="1:68" x14ac:dyDescent="0.2">
      <c r="I226" s="55"/>
      <c r="J226" s="55"/>
      <c r="K226" s="55"/>
      <c r="L226" s="55"/>
      <c r="M226" s="55"/>
      <c r="N226" s="55"/>
      <c r="O226" s="55"/>
      <c r="P226" s="55"/>
      <c r="Q226" s="55"/>
      <c r="R226" s="55"/>
      <c r="S226" s="55"/>
      <c r="T226" s="55"/>
      <c r="U226" s="55"/>
      <c r="V226" s="55"/>
      <c r="W226" s="55"/>
      <c r="X226" s="55"/>
      <c r="Y226" s="55"/>
      <c r="Z226" s="55"/>
      <c r="AA226" s="55"/>
      <c r="AB226" s="55"/>
      <c r="AC226" s="55"/>
      <c r="AD226" s="55"/>
      <c r="AE226" s="55"/>
      <c r="AF226" s="55"/>
      <c r="AG226" s="55"/>
      <c r="AH226" s="55"/>
      <c r="AI226" s="55"/>
      <c r="AJ226" s="55"/>
      <c r="AK226" s="55"/>
      <c r="AL226" s="55"/>
      <c r="AM226" s="55"/>
      <c r="AN226" s="55"/>
      <c r="AO226" s="55"/>
      <c r="AP226" s="55"/>
      <c r="AQ226" s="55"/>
      <c r="AR226" s="55"/>
      <c r="AS226" s="55"/>
      <c r="AT226" s="55"/>
      <c r="AU226" s="55"/>
      <c r="AV226" s="55"/>
      <c r="AW226" s="55"/>
      <c r="AX226" s="55"/>
      <c r="AY226" s="55"/>
      <c r="AZ226" s="55"/>
      <c r="BA226" s="55"/>
      <c r="BB226" s="55"/>
      <c r="BC226" s="55"/>
      <c r="BD226" s="55"/>
      <c r="BE226" s="55"/>
      <c r="BF226" s="55"/>
      <c r="BG226" s="55"/>
      <c r="BH226" s="55"/>
      <c r="BI226" s="55"/>
      <c r="BJ226" s="55"/>
      <c r="BK226" s="55"/>
      <c r="BL226" s="55"/>
      <c r="BM226" s="55"/>
      <c r="BN226" s="55"/>
      <c r="BO226" s="55"/>
      <c r="BP226" s="55"/>
    </row>
    <row r="227" spans="1:68" ht="15.75" thickBot="1" x14ac:dyDescent="0.3">
      <c r="A227" s="43"/>
      <c r="B227" s="43"/>
      <c r="C227" s="43" t="s">
        <v>41</v>
      </c>
      <c r="D227" s="43"/>
      <c r="E227" s="43"/>
      <c r="F227" s="43"/>
      <c r="G227" s="43"/>
      <c r="H227" s="44">
        <f ca="1">SUM(I227:BP227)</f>
        <v>248481278.8605454</v>
      </c>
      <c r="I227" s="44">
        <f t="shared" ref="I227:AN227" ca="1" si="131">SUBTOTAL(9,I208:I226)</f>
        <v>979535.20305749995</v>
      </c>
      <c r="J227" s="44">
        <f t="shared" ca="1" si="131"/>
        <v>-32189.70364149896</v>
      </c>
      <c r="K227" s="44">
        <f t="shared" ca="1" si="131"/>
        <v>922279.74276885216</v>
      </c>
      <c r="L227" s="44">
        <f t="shared" ca="1" si="131"/>
        <v>-124638.35054129285</v>
      </c>
      <c r="M227" s="44">
        <f t="shared" ca="1" si="131"/>
        <v>-131700.64082568017</v>
      </c>
      <c r="N227" s="44">
        <f t="shared" ca="1" si="131"/>
        <v>-159773.44449793876</v>
      </c>
      <c r="O227" s="44">
        <f t="shared" ca="1" si="131"/>
        <v>-185792.94443049197</v>
      </c>
      <c r="P227" s="44">
        <f t="shared" ca="1" si="131"/>
        <v>-181073.04611387444</v>
      </c>
      <c r="Q227" s="44">
        <f t="shared" ca="1" si="131"/>
        <v>-200719.67185578967</v>
      </c>
      <c r="R227" s="44">
        <f t="shared" ca="1" si="131"/>
        <v>-228082.65828741476</v>
      </c>
      <c r="S227" s="44">
        <f t="shared" ca="1" si="131"/>
        <v>-249419.45187882119</v>
      </c>
      <c r="T227" s="44">
        <f t="shared" ca="1" si="131"/>
        <v>-270210.18996409321</v>
      </c>
      <c r="U227" s="44">
        <f t="shared" ca="1" si="131"/>
        <v>-281879.34367943654</v>
      </c>
      <c r="V227" s="44">
        <f t="shared" ca="1" si="131"/>
        <v>-304536.92546249554</v>
      </c>
      <c r="W227" s="44">
        <f t="shared" ca="1" si="131"/>
        <v>-319430.29838229308</v>
      </c>
      <c r="X227" s="44">
        <f t="shared" ca="1" si="131"/>
        <v>-322951.28815249499</v>
      </c>
      <c r="Y227" s="44">
        <f t="shared" ca="1" si="131"/>
        <v>-334389.83042776765</v>
      </c>
      <c r="Z227" s="44">
        <f t="shared" ca="1" si="131"/>
        <v>-335377.37059488986</v>
      </c>
      <c r="AA227" s="44">
        <f t="shared" ca="1" si="131"/>
        <v>-320878.78939200554</v>
      </c>
      <c r="AB227" s="44">
        <f t="shared" ca="1" si="131"/>
        <v>-297796.80451370985</v>
      </c>
      <c r="AC227" s="44">
        <f t="shared" ca="1" si="131"/>
        <v>-288111.65330192883</v>
      </c>
      <c r="AD227" s="44">
        <f t="shared" ca="1" si="131"/>
        <v>-231240.73931061965</v>
      </c>
      <c r="AE227" s="44">
        <f t="shared" ca="1" si="131"/>
        <v>-156715.63663558915</v>
      </c>
      <c r="AF227" s="44">
        <f t="shared" ca="1" si="131"/>
        <v>-70555.419245971454</v>
      </c>
      <c r="AG227" s="44">
        <f t="shared" ca="1" si="131"/>
        <v>374056.02015777491</v>
      </c>
      <c r="AH227" s="44">
        <f t="shared" ca="1" si="131"/>
        <v>536730.71467892046</v>
      </c>
      <c r="AI227" s="44">
        <f t="shared" ca="1" si="131"/>
        <v>675390.81565066357</v>
      </c>
      <c r="AJ227" s="44">
        <f t="shared" ca="1" si="131"/>
        <v>821395.84317204321</v>
      </c>
      <c r="AK227" s="44">
        <f t="shared" ca="1" si="131"/>
        <v>946345.3577087489</v>
      </c>
      <c r="AL227" s="44">
        <f t="shared" ca="1" si="131"/>
        <v>1009618.1790659545</v>
      </c>
      <c r="AM227" s="44">
        <f t="shared" ca="1" si="131"/>
        <v>873239.32335662807</v>
      </c>
      <c r="AN227" s="44">
        <f t="shared" ca="1" si="131"/>
        <v>1001686.5390943966</v>
      </c>
      <c r="AO227" s="44">
        <f t="shared" ref="AO227:BP227" ca="1" si="132">SUBTOTAL(9,AO208:AO226)</f>
        <v>1125654.9654269428</v>
      </c>
      <c r="AP227" s="44">
        <f t="shared" ca="1" si="132"/>
        <v>1291556.4658208126</v>
      </c>
      <c r="AQ227" s="44">
        <f t="shared" ca="1" si="132"/>
        <v>1455563.2426920452</v>
      </c>
      <c r="AR227" s="44">
        <f t="shared" ca="1" si="132"/>
        <v>1646006.8487834397</v>
      </c>
      <c r="AS227" s="44">
        <f t="shared" ca="1" si="132"/>
        <v>1886222.819678504</v>
      </c>
      <c r="AT227" s="44">
        <f t="shared" ca="1" si="132"/>
        <v>2137274.7687402577</v>
      </c>
      <c r="AU227" s="44">
        <f t="shared" ca="1" si="132"/>
        <v>2414111.4710969487</v>
      </c>
      <c r="AV227" s="44">
        <f t="shared" ca="1" si="132"/>
        <v>2748782.0564082251</v>
      </c>
      <c r="AW227" s="44">
        <f t="shared" ca="1" si="132"/>
        <v>3083835.4358615489</v>
      </c>
      <c r="AX227" s="44">
        <f t="shared" ca="1" si="132"/>
        <v>3452198.4274945278</v>
      </c>
      <c r="AY227" s="44">
        <f t="shared" ca="1" si="132"/>
        <v>3857169.7695595017</v>
      </c>
      <c r="AZ227" s="44">
        <f t="shared" ca="1" si="132"/>
        <v>4302386.0019261725</v>
      </c>
      <c r="BA227" s="44">
        <f t="shared" ca="1" si="132"/>
        <v>4791817.8825192656</v>
      </c>
      <c r="BB227" s="44">
        <f t="shared" ca="1" si="132"/>
        <v>5329762.7259646673</v>
      </c>
      <c r="BC227" s="44">
        <f t="shared" ca="1" si="132"/>
        <v>5921184.8417408532</v>
      </c>
      <c r="BD227" s="44">
        <f t="shared" ca="1" si="132"/>
        <v>6571282.7324517258</v>
      </c>
      <c r="BE227" s="44">
        <f t="shared" ca="1" si="132"/>
        <v>8632640.6433455851</v>
      </c>
      <c r="BF227" s="44">
        <f t="shared" ca="1" si="132"/>
        <v>9321251.1584530137</v>
      </c>
      <c r="BG227" s="44">
        <f t="shared" ca="1" si="132"/>
        <v>10572932.339934384</v>
      </c>
      <c r="BH227" s="44">
        <f t="shared" ca="1" si="132"/>
        <v>11958185.465242814</v>
      </c>
      <c r="BI227" s="44">
        <f t="shared" ca="1" si="132"/>
        <v>13210190.216246676</v>
      </c>
      <c r="BJ227" s="44">
        <f t="shared" ca="1" si="132"/>
        <v>14586150.399117578</v>
      </c>
      <c r="BK227" s="44">
        <f t="shared" ca="1" si="132"/>
        <v>16098449.512771612</v>
      </c>
      <c r="BL227" s="44">
        <f t="shared" ca="1" si="132"/>
        <v>17760673.852897417</v>
      </c>
      <c r="BM227" s="44">
        <f t="shared" ca="1" si="132"/>
        <v>19587591.003137548</v>
      </c>
      <c r="BN227" s="44">
        <f t="shared" ca="1" si="132"/>
        <v>21595466.551181346</v>
      </c>
      <c r="BO227" s="44">
        <f t="shared" ca="1" si="132"/>
        <v>23802329.231200621</v>
      </c>
      <c r="BP227" s="44">
        <f t="shared" ca="1" si="132"/>
        <v>26227794.493275993</v>
      </c>
    </row>
    <row r="228" spans="1:68" ht="13.5" thickTop="1" x14ac:dyDescent="0.2">
      <c r="I228" s="55"/>
    </row>
    <row r="229" spans="1:68" x14ac:dyDescent="0.2">
      <c r="D229" s="1" t="s">
        <v>196</v>
      </c>
      <c r="I229" s="55">
        <f>H230</f>
        <v>0</v>
      </c>
      <c r="J229" s="55">
        <f t="shared" ref="J229:BP229" ca="1" si="133">I230</f>
        <v>979535.20305749995</v>
      </c>
      <c r="K229" s="55">
        <f t="shared" ca="1" si="133"/>
        <v>947345.49941600102</v>
      </c>
      <c r="L229" s="55">
        <f t="shared" ca="1" si="133"/>
        <v>1869625.2421848532</v>
      </c>
      <c r="M229" s="55">
        <f t="shared" ca="1" si="133"/>
        <v>1744986.8916435603</v>
      </c>
      <c r="N229" s="55">
        <f t="shared" ca="1" si="133"/>
        <v>1613286.25081788</v>
      </c>
      <c r="O229" s="55">
        <f t="shared" ca="1" si="133"/>
        <v>1453512.8063199413</v>
      </c>
      <c r="P229" s="55">
        <f t="shared" ca="1" si="133"/>
        <v>1267719.8618894494</v>
      </c>
      <c r="Q229" s="55">
        <f t="shared" ca="1" si="133"/>
        <v>1086646.8157755749</v>
      </c>
      <c r="R229" s="55">
        <f t="shared" ca="1" si="133"/>
        <v>885927.14391978527</v>
      </c>
      <c r="S229" s="55">
        <f t="shared" ca="1" si="133"/>
        <v>657844.48563237046</v>
      </c>
      <c r="T229" s="55">
        <f t="shared" ca="1" si="133"/>
        <v>408425.03375354927</v>
      </c>
      <c r="U229" s="55">
        <f t="shared" ca="1" si="133"/>
        <v>138214.84378945606</v>
      </c>
      <c r="V229" s="55">
        <f t="shared" ca="1" si="133"/>
        <v>-143664.49988998048</v>
      </c>
      <c r="W229" s="55">
        <f t="shared" ca="1" si="133"/>
        <v>-448201.42535247601</v>
      </c>
      <c r="X229" s="55">
        <f t="shared" ca="1" si="133"/>
        <v>-767631.72373476904</v>
      </c>
      <c r="Y229" s="55">
        <f t="shared" ca="1" si="133"/>
        <v>-1090583.011887264</v>
      </c>
      <c r="Z229" s="55">
        <f t="shared" ca="1" si="133"/>
        <v>-1424972.8423150317</v>
      </c>
      <c r="AA229" s="55">
        <f t="shared" ca="1" si="133"/>
        <v>-1760350.2129099215</v>
      </c>
      <c r="AB229" s="55">
        <f t="shared" ca="1" si="133"/>
        <v>-2081229.0023019272</v>
      </c>
      <c r="AC229" s="55">
        <f t="shared" ca="1" si="133"/>
        <v>-2379025.8068156373</v>
      </c>
      <c r="AD229" s="55">
        <f t="shared" ca="1" si="133"/>
        <v>-2667137.4601175659</v>
      </c>
      <c r="AE229" s="55">
        <f t="shared" ca="1" si="133"/>
        <v>-2898378.1994281858</v>
      </c>
      <c r="AF229" s="55">
        <f t="shared" ca="1" si="133"/>
        <v>-3055093.8360637748</v>
      </c>
      <c r="AG229" s="55">
        <f t="shared" ca="1" si="133"/>
        <v>-3125649.2553097461</v>
      </c>
      <c r="AH229" s="55">
        <f t="shared" ca="1" si="133"/>
        <v>-2751593.2351519712</v>
      </c>
      <c r="AI229" s="55">
        <f t="shared" ca="1" si="133"/>
        <v>-2214862.5204730509</v>
      </c>
      <c r="AJ229" s="55">
        <f t="shared" ca="1" si="133"/>
        <v>-1539471.7048223873</v>
      </c>
      <c r="AK229" s="55">
        <f t="shared" ca="1" si="133"/>
        <v>-718075.8616503441</v>
      </c>
      <c r="AL229" s="55">
        <f t="shared" ca="1" si="133"/>
        <v>228269.49605840479</v>
      </c>
      <c r="AM229" s="55">
        <f t="shared" ca="1" si="133"/>
        <v>1237887.6751243593</v>
      </c>
      <c r="AN229" s="55">
        <f t="shared" ca="1" si="133"/>
        <v>2111126.9984809873</v>
      </c>
      <c r="AO229" s="55">
        <f t="shared" ca="1" si="133"/>
        <v>3112813.5375753837</v>
      </c>
      <c r="AP229" s="55">
        <f t="shared" ca="1" si="133"/>
        <v>4238468.5030023269</v>
      </c>
      <c r="AQ229" s="55">
        <f t="shared" ca="1" si="133"/>
        <v>5530024.9688231396</v>
      </c>
      <c r="AR229" s="55">
        <f t="shared" ca="1" si="133"/>
        <v>6985588.2115151845</v>
      </c>
      <c r="AS229" s="55">
        <f t="shared" ca="1" si="133"/>
        <v>8631595.0602986235</v>
      </c>
      <c r="AT229" s="55">
        <f t="shared" ca="1" si="133"/>
        <v>10517817.879977128</v>
      </c>
      <c r="AU229" s="55">
        <f t="shared" ca="1" si="133"/>
        <v>12655092.648717385</v>
      </c>
      <c r="AV229" s="55">
        <f t="shared" ca="1" si="133"/>
        <v>15069204.119814333</v>
      </c>
      <c r="AW229" s="55">
        <f t="shared" ca="1" si="133"/>
        <v>17817986.176222559</v>
      </c>
      <c r="AX229" s="55">
        <f t="shared" ca="1" si="133"/>
        <v>20901821.612084109</v>
      </c>
      <c r="AY229" s="55">
        <f t="shared" ca="1" si="133"/>
        <v>24354020.039578639</v>
      </c>
      <c r="AZ229" s="55">
        <f t="shared" ca="1" si="133"/>
        <v>28211189.809138142</v>
      </c>
      <c r="BA229" s="55">
        <f t="shared" ca="1" si="133"/>
        <v>32513575.811064314</v>
      </c>
      <c r="BB229" s="55">
        <f t="shared" ca="1" si="133"/>
        <v>37305393.693583578</v>
      </c>
      <c r="BC229" s="55">
        <f t="shared" ca="1" si="133"/>
        <v>42635156.419548243</v>
      </c>
      <c r="BD229" s="55">
        <f t="shared" ca="1" si="133"/>
        <v>48556341.261289097</v>
      </c>
      <c r="BE229" s="55">
        <f t="shared" ca="1" si="133"/>
        <v>55127623.993740827</v>
      </c>
      <c r="BF229" s="55">
        <f t="shared" ca="1" si="133"/>
        <v>63760264.637086414</v>
      </c>
      <c r="BG229" s="55">
        <f t="shared" ca="1" si="133"/>
        <v>73081515.795539424</v>
      </c>
      <c r="BH229" s="55">
        <f t="shared" ca="1" si="133"/>
        <v>83654448.135473803</v>
      </c>
      <c r="BI229" s="55">
        <f t="shared" ca="1" si="133"/>
        <v>95612633.600716621</v>
      </c>
      <c r="BJ229" s="55">
        <f t="shared" ca="1" si="133"/>
        <v>108822823.8169633</v>
      </c>
      <c r="BK229" s="55">
        <f t="shared" ca="1" si="133"/>
        <v>123408974.21608087</v>
      </c>
      <c r="BL229" s="55">
        <f t="shared" ca="1" si="133"/>
        <v>139507423.72885248</v>
      </c>
      <c r="BM229" s="55">
        <f t="shared" ca="1" si="133"/>
        <v>157268097.58174989</v>
      </c>
      <c r="BN229" s="55">
        <f t="shared" ca="1" si="133"/>
        <v>176855688.58488744</v>
      </c>
      <c r="BO229" s="55">
        <f t="shared" ca="1" si="133"/>
        <v>198451155.13606879</v>
      </c>
      <c r="BP229" s="55">
        <f t="shared" ca="1" si="133"/>
        <v>222253484.3672694</v>
      </c>
    </row>
    <row r="230" spans="1:68" x14ac:dyDescent="0.2">
      <c r="A230" s="4"/>
      <c r="B230" s="4"/>
      <c r="C230" s="4"/>
      <c r="D230" s="4" t="s">
        <v>197</v>
      </c>
      <c r="E230" s="4"/>
      <c r="F230" s="4"/>
      <c r="G230" s="4"/>
      <c r="H230" s="4"/>
      <c r="I230" s="59">
        <f ca="1">SUM(I227:I229)</f>
        <v>979535.20305749995</v>
      </c>
      <c r="J230" s="59">
        <f t="shared" ref="J230:BP230" ca="1" si="134">SUM(J227:J229)</f>
        <v>947345.49941600102</v>
      </c>
      <c r="K230" s="59">
        <f t="shared" ca="1" si="134"/>
        <v>1869625.2421848532</v>
      </c>
      <c r="L230" s="59">
        <f t="shared" ca="1" si="134"/>
        <v>1744986.8916435603</v>
      </c>
      <c r="M230" s="59">
        <f t="shared" ca="1" si="134"/>
        <v>1613286.25081788</v>
      </c>
      <c r="N230" s="59">
        <f t="shared" ca="1" si="134"/>
        <v>1453512.8063199413</v>
      </c>
      <c r="O230" s="59">
        <f t="shared" ca="1" si="134"/>
        <v>1267719.8618894494</v>
      </c>
      <c r="P230" s="59">
        <f t="shared" ca="1" si="134"/>
        <v>1086646.8157755749</v>
      </c>
      <c r="Q230" s="59">
        <f t="shared" ca="1" si="134"/>
        <v>885927.14391978527</v>
      </c>
      <c r="R230" s="59">
        <f t="shared" ca="1" si="134"/>
        <v>657844.48563237046</v>
      </c>
      <c r="S230" s="59">
        <f t="shared" ca="1" si="134"/>
        <v>408425.03375354927</v>
      </c>
      <c r="T230" s="59">
        <f t="shared" ca="1" si="134"/>
        <v>138214.84378945606</v>
      </c>
      <c r="U230" s="59">
        <f t="shared" ca="1" si="134"/>
        <v>-143664.49988998048</v>
      </c>
      <c r="V230" s="59">
        <f t="shared" ca="1" si="134"/>
        <v>-448201.42535247601</v>
      </c>
      <c r="W230" s="59">
        <f t="shared" ca="1" si="134"/>
        <v>-767631.72373476904</v>
      </c>
      <c r="X230" s="59">
        <f t="shared" ca="1" si="134"/>
        <v>-1090583.011887264</v>
      </c>
      <c r="Y230" s="59">
        <f t="shared" ca="1" si="134"/>
        <v>-1424972.8423150317</v>
      </c>
      <c r="Z230" s="59">
        <f t="shared" ca="1" si="134"/>
        <v>-1760350.2129099215</v>
      </c>
      <c r="AA230" s="59">
        <f t="shared" ca="1" si="134"/>
        <v>-2081229.0023019272</v>
      </c>
      <c r="AB230" s="59">
        <f t="shared" ca="1" si="134"/>
        <v>-2379025.8068156373</v>
      </c>
      <c r="AC230" s="59">
        <f t="shared" ca="1" si="134"/>
        <v>-2667137.4601175659</v>
      </c>
      <c r="AD230" s="59">
        <f t="shared" ca="1" si="134"/>
        <v>-2898378.1994281858</v>
      </c>
      <c r="AE230" s="59">
        <f t="shared" ca="1" si="134"/>
        <v>-3055093.8360637748</v>
      </c>
      <c r="AF230" s="59">
        <f t="shared" ca="1" si="134"/>
        <v>-3125649.2553097461</v>
      </c>
      <c r="AG230" s="59">
        <f t="shared" ca="1" si="134"/>
        <v>-2751593.2351519712</v>
      </c>
      <c r="AH230" s="59">
        <f t="shared" ca="1" si="134"/>
        <v>-2214862.5204730509</v>
      </c>
      <c r="AI230" s="59">
        <f t="shared" ca="1" si="134"/>
        <v>-1539471.7048223873</v>
      </c>
      <c r="AJ230" s="59">
        <f t="shared" ca="1" si="134"/>
        <v>-718075.8616503441</v>
      </c>
      <c r="AK230" s="59">
        <f t="shared" ca="1" si="134"/>
        <v>228269.49605840479</v>
      </c>
      <c r="AL230" s="59">
        <f t="shared" ca="1" si="134"/>
        <v>1237887.6751243593</v>
      </c>
      <c r="AM230" s="59">
        <f t="shared" ca="1" si="134"/>
        <v>2111126.9984809873</v>
      </c>
      <c r="AN230" s="59">
        <f t="shared" ca="1" si="134"/>
        <v>3112813.5375753837</v>
      </c>
      <c r="AO230" s="59">
        <f t="shared" ca="1" si="134"/>
        <v>4238468.5030023269</v>
      </c>
      <c r="AP230" s="59">
        <f t="shared" ca="1" si="134"/>
        <v>5530024.9688231396</v>
      </c>
      <c r="AQ230" s="59">
        <f t="shared" ca="1" si="134"/>
        <v>6985588.2115151845</v>
      </c>
      <c r="AR230" s="59">
        <f t="shared" ca="1" si="134"/>
        <v>8631595.0602986235</v>
      </c>
      <c r="AS230" s="59">
        <f t="shared" ca="1" si="134"/>
        <v>10517817.879977128</v>
      </c>
      <c r="AT230" s="59">
        <f t="shared" ca="1" si="134"/>
        <v>12655092.648717385</v>
      </c>
      <c r="AU230" s="59">
        <f t="shared" ca="1" si="134"/>
        <v>15069204.119814333</v>
      </c>
      <c r="AV230" s="59">
        <f t="shared" ca="1" si="134"/>
        <v>17817986.176222559</v>
      </c>
      <c r="AW230" s="59">
        <f t="shared" ca="1" si="134"/>
        <v>20901821.612084109</v>
      </c>
      <c r="AX230" s="59">
        <f t="shared" ca="1" si="134"/>
        <v>24354020.039578639</v>
      </c>
      <c r="AY230" s="59">
        <f t="shared" ca="1" si="134"/>
        <v>28211189.809138142</v>
      </c>
      <c r="AZ230" s="59">
        <f t="shared" ca="1" si="134"/>
        <v>32513575.811064314</v>
      </c>
      <c r="BA230" s="59">
        <f t="shared" ca="1" si="134"/>
        <v>37305393.693583578</v>
      </c>
      <c r="BB230" s="59">
        <f t="shared" ca="1" si="134"/>
        <v>42635156.419548243</v>
      </c>
      <c r="BC230" s="59">
        <f t="shared" ca="1" si="134"/>
        <v>48556341.261289097</v>
      </c>
      <c r="BD230" s="59">
        <f t="shared" ca="1" si="134"/>
        <v>55127623.993740827</v>
      </c>
      <c r="BE230" s="59">
        <f t="shared" ca="1" si="134"/>
        <v>63760264.637086414</v>
      </c>
      <c r="BF230" s="59">
        <f t="shared" ca="1" si="134"/>
        <v>73081515.795539424</v>
      </c>
      <c r="BG230" s="59">
        <f t="shared" ca="1" si="134"/>
        <v>83654448.135473803</v>
      </c>
      <c r="BH230" s="59">
        <f t="shared" ca="1" si="134"/>
        <v>95612633.600716621</v>
      </c>
      <c r="BI230" s="59">
        <f t="shared" ca="1" si="134"/>
        <v>108822823.8169633</v>
      </c>
      <c r="BJ230" s="59">
        <f t="shared" ca="1" si="134"/>
        <v>123408974.21608087</v>
      </c>
      <c r="BK230" s="59">
        <f t="shared" ca="1" si="134"/>
        <v>139507423.72885248</v>
      </c>
      <c r="BL230" s="59">
        <f t="shared" ca="1" si="134"/>
        <v>157268097.58174989</v>
      </c>
      <c r="BM230" s="59">
        <f t="shared" ca="1" si="134"/>
        <v>176855688.58488744</v>
      </c>
      <c r="BN230" s="59">
        <f t="shared" ca="1" si="134"/>
        <v>198451155.13606879</v>
      </c>
      <c r="BO230" s="59">
        <f t="shared" ca="1" si="134"/>
        <v>222253484.3672694</v>
      </c>
      <c r="BP230" s="59">
        <f t="shared" ca="1" si="134"/>
        <v>248481278.8605454</v>
      </c>
    </row>
    <row r="231" spans="1:68" x14ac:dyDescent="0.2">
      <c r="I231" s="61"/>
    </row>
    <row r="232" spans="1:68" s="30" customFormat="1" ht="20.25" thickBot="1" x14ac:dyDescent="0.35">
      <c r="A232" s="70"/>
      <c r="B232" s="70" t="s">
        <v>198</v>
      </c>
      <c r="C232" s="70"/>
      <c r="D232" s="70"/>
      <c r="E232" s="70"/>
      <c r="F232" s="70"/>
      <c r="G232" s="70"/>
      <c r="H232" s="70"/>
      <c r="I232" s="70"/>
      <c r="J232" s="70"/>
      <c r="K232" s="70"/>
      <c r="L232" s="70"/>
      <c r="M232" s="70"/>
      <c r="N232" s="70"/>
      <c r="O232" s="70"/>
      <c r="P232" s="70"/>
      <c r="Q232" s="70"/>
      <c r="R232" s="70"/>
      <c r="S232" s="70"/>
      <c r="T232" s="70"/>
      <c r="U232" s="70"/>
      <c r="V232" s="70"/>
      <c r="W232" s="70"/>
      <c r="X232" s="70"/>
      <c r="Y232" s="70"/>
      <c r="Z232" s="70"/>
      <c r="AA232" s="70"/>
      <c r="AB232" s="70"/>
      <c r="AC232" s="70"/>
      <c r="AD232" s="70"/>
      <c r="AE232" s="70"/>
      <c r="AF232" s="70"/>
      <c r="AG232" s="70"/>
      <c r="AH232" s="70"/>
      <c r="AI232" s="70"/>
      <c r="AJ232" s="70"/>
      <c r="AK232" s="70"/>
      <c r="AL232" s="70"/>
      <c r="AM232" s="70"/>
      <c r="AN232" s="70"/>
      <c r="AO232" s="70"/>
      <c r="AP232" s="70"/>
      <c r="AQ232" s="70"/>
      <c r="AR232" s="70"/>
      <c r="AS232" s="70"/>
      <c r="AT232" s="70"/>
      <c r="AU232" s="70"/>
      <c r="AV232" s="70"/>
      <c r="AW232" s="70"/>
      <c r="AX232" s="70"/>
      <c r="AY232" s="70"/>
      <c r="AZ232" s="70"/>
      <c r="BA232" s="70"/>
      <c r="BB232" s="70"/>
      <c r="BC232" s="70"/>
      <c r="BD232" s="70"/>
      <c r="BE232" s="70"/>
      <c r="BF232" s="70"/>
      <c r="BG232" s="70"/>
      <c r="BH232" s="70"/>
      <c r="BI232" s="70"/>
      <c r="BJ232" s="70"/>
      <c r="BK232" s="70"/>
      <c r="BL232" s="70"/>
      <c r="BM232" s="70"/>
      <c r="BN232" s="70"/>
      <c r="BO232" s="70"/>
      <c r="BP232" s="70"/>
    </row>
    <row r="233" spans="1:68" ht="13.5" thickTop="1" x14ac:dyDescent="0.2"/>
    <row r="234" spans="1:68" x14ac:dyDescent="0.2">
      <c r="C234" s="1" t="s">
        <v>199</v>
      </c>
    </row>
    <row r="235" spans="1:68" x14ac:dyDescent="0.2">
      <c r="D235" s="1" t="s">
        <v>200</v>
      </c>
      <c r="I235" s="62">
        <f ca="1">I101/I115</f>
        <v>281.19089533232165</v>
      </c>
      <c r="J235" s="62">
        <f t="shared" ref="J235:BP235" ca="1" si="135">J101/J115</f>
        <v>189.35747150374027</v>
      </c>
      <c r="K235" s="62">
        <f t="shared" ca="1" si="135"/>
        <v>200.80550920680923</v>
      </c>
      <c r="L235" s="62">
        <f t="shared" ca="1" si="135"/>
        <v>145.97016473006397</v>
      </c>
      <c r="M235" s="62">
        <f t="shared" ca="1" si="135"/>
        <v>122.77585107678067</v>
      </c>
      <c r="N235" s="62">
        <f t="shared" ca="1" si="135"/>
        <v>91.54274635865599</v>
      </c>
      <c r="O235" s="62">
        <f t="shared" ca="1" si="135"/>
        <v>67.119450181779555</v>
      </c>
      <c r="P235" s="62">
        <f t="shared" ca="1" si="135"/>
        <v>56.294205105994571</v>
      </c>
      <c r="Q235" s="62">
        <f t="shared" ca="1" si="135"/>
        <v>41.705719569001452</v>
      </c>
      <c r="R235" s="62">
        <f t="shared" ca="1" si="135"/>
        <v>27.140818953944908</v>
      </c>
      <c r="S235" s="62">
        <f t="shared" ca="1" si="135"/>
        <v>15.366159502587658</v>
      </c>
      <c r="T235" s="62">
        <f t="shared" ca="1" si="135"/>
        <v>5.305672801905696</v>
      </c>
      <c r="U235" s="62">
        <f t="shared" ca="1" si="135"/>
        <v>-3.1117958151029188</v>
      </c>
      <c r="V235" s="62">
        <f t="shared" ca="1" si="135"/>
        <v>-10.398367992402543</v>
      </c>
      <c r="W235" s="62">
        <f t="shared" ca="1" si="135"/>
        <v>-16.613796662548513</v>
      </c>
      <c r="X235" s="62">
        <f t="shared" ca="1" si="135"/>
        <v>-21.926981623694232</v>
      </c>
      <c r="Y235" s="62">
        <f t="shared" ca="1" si="135"/>
        <v>-25.906366338712225</v>
      </c>
      <c r="Z235" s="62">
        <f t="shared" ca="1" si="135"/>
        <v>-28.884345982590887</v>
      </c>
      <c r="AA235" s="62">
        <f t="shared" ca="1" si="135"/>
        <v>-30.938522218739994</v>
      </c>
      <c r="AB235" s="62">
        <f t="shared" ca="1" si="135"/>
        <v>-31.721090974791966</v>
      </c>
      <c r="AC235" s="62">
        <f t="shared" ca="1" si="135"/>
        <v>-30.587632119601388</v>
      </c>
      <c r="AD235" s="62">
        <f t="shared" ca="1" si="135"/>
        <v>-28.954316396194844</v>
      </c>
      <c r="AE235" s="62">
        <f t="shared" ca="1" si="135"/>
        <v>-26.095004647422414</v>
      </c>
      <c r="AF235" s="62">
        <f t="shared" ca="1" si="135"/>
        <v>-21.893943738476736</v>
      </c>
      <c r="AG235" s="62">
        <f t="shared" ca="1" si="135"/>
        <v>-17.107176114976699</v>
      </c>
      <c r="AH235" s="62">
        <f t="shared" ca="1" si="135"/>
        <v>-10.291257113534916</v>
      </c>
      <c r="AI235" s="62">
        <f t="shared" ca="1" si="135"/>
        <v>-3.2491284819515536</v>
      </c>
      <c r="AJ235" s="62">
        <f t="shared" ca="1" si="135"/>
        <v>3.9677160879313633</v>
      </c>
      <c r="AK235" s="62">
        <f t="shared" ca="1" si="135"/>
        <v>7.6612454803128918</v>
      </c>
      <c r="AL235" s="62">
        <f t="shared" ca="1" si="135"/>
        <v>5.2567948726872409</v>
      </c>
      <c r="AM235" s="62">
        <f t="shared" ca="1" si="135"/>
        <v>6.445739665454207</v>
      </c>
      <c r="AN235" s="62">
        <f t="shared" ca="1" si="135"/>
        <v>7.5548570032662825</v>
      </c>
      <c r="AO235" s="62">
        <f t="shared" ca="1" si="135"/>
        <v>8.6021606833905793</v>
      </c>
      <c r="AP235" s="62">
        <f t="shared" ca="1" si="135"/>
        <v>9.5525514721517855</v>
      </c>
      <c r="AQ235" s="62">
        <f t="shared" ca="1" si="135"/>
        <v>10.455673411159614</v>
      </c>
      <c r="AR235" s="62">
        <f t="shared" ca="1" si="135"/>
        <v>11.289793528624241</v>
      </c>
      <c r="AS235" s="62">
        <f t="shared" ca="1" si="135"/>
        <v>12.029339705474479</v>
      </c>
      <c r="AT235" s="62">
        <f t="shared" ca="1" si="135"/>
        <v>12.740206823138998</v>
      </c>
      <c r="AU235" s="62">
        <f t="shared" ca="1" si="135"/>
        <v>13.417360077500481</v>
      </c>
      <c r="AV235" s="62">
        <f t="shared" ca="1" si="135"/>
        <v>14.080577447272582</v>
      </c>
      <c r="AW235" s="62">
        <f t="shared" ca="1" si="135"/>
        <v>14.707435854126134</v>
      </c>
      <c r="AX235" s="62">
        <f t="shared" ca="1" si="135"/>
        <v>15.299551170299711</v>
      </c>
      <c r="AY235" s="62">
        <f t="shared" ca="1" si="135"/>
        <v>15.858684680019044</v>
      </c>
      <c r="AZ235" s="62">
        <f t="shared" ca="1" si="135"/>
        <v>16.386209036832742</v>
      </c>
      <c r="BA235" s="62">
        <f t="shared" ca="1" si="135"/>
        <v>16.883080614782546</v>
      </c>
      <c r="BB235" s="62">
        <f t="shared" ca="1" si="135"/>
        <v>17.35173352485414</v>
      </c>
      <c r="BC235" s="62">
        <f t="shared" ca="1" si="135"/>
        <v>17.793046749964979</v>
      </c>
      <c r="BD235" s="62">
        <f t="shared" ca="1" si="135"/>
        <v>18.20813631186353</v>
      </c>
      <c r="BE235" s="62">
        <f t="shared" ca="1" si="135"/>
        <v>15.970698568147661</v>
      </c>
      <c r="BF235" s="62">
        <f t="shared" ca="1" si="135"/>
        <v>16.57848885914764</v>
      </c>
      <c r="BG235" s="62">
        <f t="shared" ca="1" si="135"/>
        <v>17.162501042376899</v>
      </c>
      <c r="BH235" s="62">
        <f t="shared" ca="1" si="135"/>
        <v>17.700635536865345</v>
      </c>
      <c r="BI235" s="62">
        <f t="shared" ca="1" si="135"/>
        <v>18.19680815410241</v>
      </c>
      <c r="BJ235" s="62">
        <f t="shared" ca="1" si="135"/>
        <v>18.654655383158747</v>
      </c>
      <c r="BK235" s="62">
        <f t="shared" ca="1" si="135"/>
        <v>19.077401354561562</v>
      </c>
      <c r="BL235" s="62">
        <f t="shared" ca="1" si="135"/>
        <v>19.467681845302288</v>
      </c>
      <c r="BM235" s="62">
        <f t="shared" ca="1" si="135"/>
        <v>19.827955416110623</v>
      </c>
      <c r="BN235" s="62">
        <f t="shared" ca="1" si="135"/>
        <v>20.160737934022833</v>
      </c>
      <c r="BO235" s="62">
        <f t="shared" ca="1" si="135"/>
        <v>20.468009199544753</v>
      </c>
      <c r="BP235" s="62">
        <f t="shared" ca="1" si="135"/>
        <v>20.751777273177161</v>
      </c>
    </row>
    <row r="237" spans="1:68" x14ac:dyDescent="0.2">
      <c r="A237" s="4"/>
      <c r="B237" s="4"/>
      <c r="C237" s="4" t="s">
        <v>201</v>
      </c>
    </row>
    <row r="238" spans="1:68" x14ac:dyDescent="0.2">
      <c r="A238" s="4"/>
      <c r="B238" s="4"/>
      <c r="C238" s="4"/>
      <c r="D238" s="1" t="s">
        <v>202</v>
      </c>
      <c r="I238" s="62">
        <f t="shared" ref="I238:AN238" ca="1" si="136">I22/I109</f>
        <v>2.6224161749904733E-3</v>
      </c>
      <c r="J238" s="62">
        <f t="shared" ca="1" si="136"/>
        <v>3.5002012986488566E-3</v>
      </c>
      <c r="K238" s="62">
        <f t="shared" ca="1" si="136"/>
        <v>2.2902128265427624E-3</v>
      </c>
      <c r="L238" s="62">
        <f t="shared" ca="1" si="136"/>
        <v>3.1699311352215852E-3</v>
      </c>
      <c r="M238" s="62">
        <f t="shared" ca="1" si="136"/>
        <v>4.4349403844375036E-3</v>
      </c>
      <c r="N238" s="62">
        <f t="shared" ca="1" si="136"/>
        <v>6.3503428622479884E-3</v>
      </c>
      <c r="O238" s="62">
        <f t="shared" ca="1" si="136"/>
        <v>9.3566543769218052E-3</v>
      </c>
      <c r="P238" s="62">
        <f t="shared" ca="1" si="136"/>
        <v>1.4079553851286338E-2</v>
      </c>
      <c r="Q238" s="62">
        <f t="shared" ca="1" si="136"/>
        <v>2.2107443937691276E-2</v>
      </c>
      <c r="R238" s="62">
        <f t="shared" ca="1" si="136"/>
        <v>3.759779988403051E-2</v>
      </c>
      <c r="S238" s="62">
        <f t="shared" ca="1" si="136"/>
        <v>7.3860526923743924E-2</v>
      </c>
      <c r="T238" s="62">
        <f t="shared" ca="1" si="136"/>
        <v>0.21620541803979351</v>
      </c>
      <c r="U238" s="62">
        <f t="shared" ca="1" si="136"/>
        <v>-0.89342379387471571</v>
      </c>
      <c r="V238" s="62">
        <f t="shared" ca="1" si="136"/>
        <v>-0.21218433675973494</v>
      </c>
      <c r="W238" s="62">
        <f t="shared" ca="1" si="136"/>
        <v>-0.14885773174969377</v>
      </c>
      <c r="X238" s="62">
        <f t="shared" ca="1" si="136"/>
        <v>-0.13219318909518865</v>
      </c>
      <c r="Y238" s="62">
        <f t="shared" ca="1" si="136"/>
        <v>-0.12998751198258604</v>
      </c>
      <c r="Z238" s="62">
        <f t="shared" ca="1" si="136"/>
        <v>-0.13630276537316408</v>
      </c>
      <c r="AA238" s="62">
        <f t="shared" ca="1" si="136"/>
        <v>-0.15013243155954295</v>
      </c>
      <c r="AB238" s="62">
        <f t="shared" ca="1" si="136"/>
        <v>-0.17205633974301965</v>
      </c>
      <c r="AC238" s="62">
        <f t="shared" ca="1" si="136"/>
        <v>-0.20255997470635115</v>
      </c>
      <c r="AD238" s="62">
        <f t="shared" ca="1" si="136"/>
        <v>-0.2474472759893605</v>
      </c>
      <c r="AE238" s="62">
        <f t="shared" ca="1" si="136"/>
        <v>-0.31544381911129504</v>
      </c>
      <c r="AF238" s="62">
        <f t="shared" ca="1" si="136"/>
        <v>-0.42261645051932056</v>
      </c>
      <c r="AG238" s="62">
        <f t="shared" ca="1" si="136"/>
        <v>-0.76686565232886017</v>
      </c>
      <c r="AH238" s="62">
        <f t="shared" ca="1" si="136"/>
        <v>-1.3514555487905542</v>
      </c>
      <c r="AI238" s="62">
        <f t="shared" ca="1" si="136"/>
        <v>-4.95244293034209</v>
      </c>
      <c r="AJ238" s="62">
        <f t="shared" ca="1" si="136"/>
        <v>3.1830470366224923</v>
      </c>
      <c r="AK238" s="62">
        <f t="shared" ca="1" si="136"/>
        <v>1.2401520677777114</v>
      </c>
      <c r="AL238" s="62">
        <f t="shared" ca="1" si="136"/>
        <v>0.80516937000640232</v>
      </c>
      <c r="AM238" s="62">
        <f t="shared" ca="1" si="136"/>
        <v>0.64860060632768535</v>
      </c>
      <c r="AN238" s="62">
        <f t="shared" ca="1" si="136"/>
        <v>0.546371719550378</v>
      </c>
      <c r="AO238" s="62">
        <f t="shared" ref="AO238:BP238" ca="1" si="137">AO22/AO109</f>
        <v>0.47558919382012788</v>
      </c>
      <c r="AP238" s="62">
        <f t="shared" ca="1" si="137"/>
        <v>0.4226375926668367</v>
      </c>
      <c r="AQ238" s="62">
        <f t="shared" ca="1" si="137"/>
        <v>0.38216077451836022</v>
      </c>
      <c r="AR238" s="62">
        <f t="shared" ca="1" si="137"/>
        <v>0.35005582146465108</v>
      </c>
      <c r="AS238" s="62">
        <f t="shared" ca="1" si="137"/>
        <v>0.32357238865568266</v>
      </c>
      <c r="AT238" s="62">
        <f t="shared" ca="1" si="137"/>
        <v>0.30148534097752611</v>
      </c>
      <c r="AU238" s="62">
        <f t="shared" ca="1" si="137"/>
        <v>0.2828465604543044</v>
      </c>
      <c r="AV238" s="62">
        <f t="shared" ca="1" si="137"/>
        <v>0.26659497503683871</v>
      </c>
      <c r="AW238" s="62">
        <f t="shared" ca="1" si="137"/>
        <v>0.25270838257736672</v>
      </c>
      <c r="AX238" s="62">
        <f t="shared" ca="1" si="137"/>
        <v>0.24074316973444895</v>
      </c>
      <c r="AY238" s="62">
        <f t="shared" ca="1" si="137"/>
        <v>0.23035852053309211</v>
      </c>
      <c r="AZ238" s="62">
        <f t="shared" ca="1" si="137"/>
        <v>0.22128674799569892</v>
      </c>
      <c r="BA238" s="62">
        <f t="shared" ca="1" si="137"/>
        <v>0.21331590665877168</v>
      </c>
      <c r="BB238" s="62">
        <f t="shared" ca="1" si="137"/>
        <v>0.20627857673295469</v>
      </c>
      <c r="BC238" s="62">
        <f t="shared" ca="1" si="137"/>
        <v>0.20003730040437689</v>
      </c>
      <c r="BD238" s="62">
        <f t="shared" ca="1" si="137"/>
        <v>0.19447893789747034</v>
      </c>
      <c r="BE238" s="62">
        <f t="shared" ca="1" si="137"/>
        <v>0.21993300538800226</v>
      </c>
      <c r="BF238" s="62">
        <f t="shared" ca="1" si="137"/>
        <v>0.21072441396803679</v>
      </c>
      <c r="BG238" s="62">
        <f t="shared" ca="1" si="137"/>
        <v>0.20286784980006284</v>
      </c>
      <c r="BH238" s="62">
        <f t="shared" ca="1" si="137"/>
        <v>0.19608970733723474</v>
      </c>
      <c r="BI238" s="62">
        <f t="shared" ca="1" si="137"/>
        <v>0.19019927988090068</v>
      </c>
      <c r="BJ238" s="62">
        <f t="shared" ca="1" si="137"/>
        <v>0.18504852600325006</v>
      </c>
      <c r="BK238" s="62">
        <f t="shared" ca="1" si="137"/>
        <v>0.18052020696831644</v>
      </c>
      <c r="BL238" s="62">
        <f t="shared" ca="1" si="137"/>
        <v>0.17652012367144268</v>
      </c>
      <c r="BM238" s="62">
        <f t="shared" ca="1" si="137"/>
        <v>0.17297147934317897</v>
      </c>
      <c r="BN238" s="62">
        <f t="shared" ca="1" si="137"/>
        <v>0.16981187023000477</v>
      </c>
      <c r="BO238" s="62">
        <f t="shared" ca="1" si="137"/>
        <v>0.16698935603722154</v>
      </c>
      <c r="BP238" s="62">
        <f t="shared" ca="1" si="137"/>
        <v>0.16446059030030344</v>
      </c>
    </row>
    <row r="239" spans="1:68" x14ac:dyDescent="0.2">
      <c r="A239" s="4"/>
      <c r="B239" s="4"/>
      <c r="C239" s="4"/>
      <c r="D239" s="1" t="s">
        <v>203</v>
      </c>
      <c r="I239" s="62">
        <f ca="1">I109/I128</f>
        <v>1.0035571331337461</v>
      </c>
      <c r="J239" s="62">
        <f t="shared" ref="J239:BP239" ca="1" si="138">J109/J128</f>
        <v>1.0052809022235452</v>
      </c>
      <c r="K239" s="62">
        <f t="shared" ca="1" si="138"/>
        <v>2.1509299731844935</v>
      </c>
      <c r="L239" s="62">
        <f t="shared" ca="1" si="138"/>
        <v>2.2636348946077871</v>
      </c>
      <c r="M239" s="62">
        <f t="shared" ca="1" si="138"/>
        <v>2.4232468261263205</v>
      </c>
      <c r="N239" s="62">
        <f t="shared" ca="1" si="138"/>
        <v>2.7209124295484655</v>
      </c>
      <c r="O239" s="62">
        <f t="shared" ca="1" si="138"/>
        <v>3.3540483486417547</v>
      </c>
      <c r="P239" s="62">
        <f t="shared" ca="1" si="138"/>
        <v>4.7968443765054625</v>
      </c>
      <c r="Q239" s="62">
        <f t="shared" ca="1" si="138"/>
        <v>14.710587911530604</v>
      </c>
      <c r="R239" s="62">
        <f t="shared" ca="1" si="138"/>
        <v>-5.2870215074252487</v>
      </c>
      <c r="S239" s="62">
        <f t="shared" ca="1" si="138"/>
        <v>-1.3310713274835528</v>
      </c>
      <c r="T239" s="62">
        <f t="shared" ca="1" si="138"/>
        <v>-0.3522622258693775</v>
      </c>
      <c r="U239" s="62">
        <f t="shared" ca="1" si="138"/>
        <v>7.7762669322894287E-2</v>
      </c>
      <c r="V239" s="62">
        <f t="shared" ca="1" si="138"/>
        <v>0.32205893256245866</v>
      </c>
      <c r="W239" s="62">
        <f t="shared" ca="1" si="138"/>
        <v>0.47565425074417328</v>
      </c>
      <c r="X239" s="62">
        <f t="shared" ca="1" si="138"/>
        <v>0.57818762342664831</v>
      </c>
      <c r="Y239" s="62">
        <f t="shared" ca="1" si="138"/>
        <v>0.6515073187226329</v>
      </c>
      <c r="Z239" s="62">
        <f t="shared" ca="1" si="138"/>
        <v>0.70523083826451927</v>
      </c>
      <c r="AA239" s="62">
        <f t="shared" ca="1" si="138"/>
        <v>0.74479371028886487</v>
      </c>
      <c r="AB239" s="62">
        <f t="shared" ca="1" si="138"/>
        <v>0.77382633955250735</v>
      </c>
      <c r="AC239" s="62">
        <f t="shared" ca="1" si="138"/>
        <v>0.79536836296891222</v>
      </c>
      <c r="AD239" s="62">
        <f t="shared" ca="1" si="138"/>
        <v>0.80999046194087709</v>
      </c>
      <c r="AE239" s="62">
        <f t="shared" ca="1" si="138"/>
        <v>0.81721502559481174</v>
      </c>
      <c r="AF239" s="62">
        <f t="shared" ca="1" si="138"/>
        <v>0.81591395122816934</v>
      </c>
      <c r="AG239" s="62">
        <f t="shared" ca="1" si="138"/>
        <v>0.78042495527716871</v>
      </c>
      <c r="AH239" s="62">
        <f t="shared" ca="1" si="138"/>
        <v>0.69820327690448147</v>
      </c>
      <c r="AI239" s="62">
        <f t="shared" ca="1" si="138"/>
        <v>0.41986593900872021</v>
      </c>
      <c r="AJ239" s="62">
        <f t="shared" ca="1" si="138"/>
        <v>4.397667740777452</v>
      </c>
      <c r="AK239" s="62">
        <f t="shared" ca="1" si="138"/>
        <v>1.4333876935877448</v>
      </c>
      <c r="AL239" s="62">
        <f t="shared" ca="1" si="138"/>
        <v>1.3889355297126338</v>
      </c>
      <c r="AM239" s="62">
        <f t="shared" ca="1" si="138"/>
        <v>1.2724068185621624</v>
      </c>
      <c r="AN239" s="62">
        <f t="shared" ca="1" si="138"/>
        <v>1.2078525835140921</v>
      </c>
      <c r="AO239" s="62">
        <f t="shared" ca="1" si="138"/>
        <v>1.1671513934052697</v>
      </c>
      <c r="AP239" s="62">
        <f t="shared" ca="1" si="138"/>
        <v>1.1400633337331818</v>
      </c>
      <c r="AQ239" s="62">
        <f t="shared" ca="1" si="138"/>
        <v>1.1205103395403857</v>
      </c>
      <c r="AR239" s="62">
        <f t="shared" ca="1" si="138"/>
        <v>1.1061213821213733</v>
      </c>
      <c r="AS239" s="62">
        <f t="shared" ca="1" si="138"/>
        <v>1.0955141828173569</v>
      </c>
      <c r="AT239" s="62">
        <f t="shared" ca="1" si="138"/>
        <v>1.087078441790607</v>
      </c>
      <c r="AU239" s="62">
        <f t="shared" ca="1" si="138"/>
        <v>1.0803030713728745</v>
      </c>
      <c r="AV239" s="62">
        <f t="shared" ca="1" si="138"/>
        <v>1.0762808852610009</v>
      </c>
      <c r="AW239" s="62">
        <f t="shared" ca="1" si="138"/>
        <v>1.0728287259301277</v>
      </c>
      <c r="AX239" s="62">
        <f t="shared" ca="1" si="138"/>
        <v>1.0698399370804637</v>
      </c>
      <c r="AY239" s="62">
        <f t="shared" ca="1" si="138"/>
        <v>1.0672321494066201</v>
      </c>
      <c r="AZ239" s="62">
        <f t="shared" ca="1" si="138"/>
        <v>1.0649424739632938</v>
      </c>
      <c r="BA239" s="62">
        <f t="shared" ca="1" si="138"/>
        <v>1.0629222572427601</v>
      </c>
      <c r="BB239" s="62">
        <f t="shared" ca="1" si="138"/>
        <v>1.0611275912434901</v>
      </c>
      <c r="BC239" s="62">
        <f t="shared" ca="1" si="138"/>
        <v>1.0595279031353779</v>
      </c>
      <c r="BD239" s="62">
        <f t="shared" ca="1" si="138"/>
        <v>1.0580969964782838</v>
      </c>
      <c r="BE239" s="62">
        <f t="shared" ca="1" si="138"/>
        <v>1.0667846875390368</v>
      </c>
      <c r="BF239" s="62">
        <f t="shared" ca="1" si="138"/>
        <v>1.0641825441880943</v>
      </c>
      <c r="BG239" s="62">
        <f t="shared" ca="1" si="138"/>
        <v>1.0618658376703212</v>
      </c>
      <c r="BH239" s="62">
        <f t="shared" ca="1" si="138"/>
        <v>1.0598741609766975</v>
      </c>
      <c r="BI239" s="62">
        <f t="shared" ca="1" si="138"/>
        <v>1.0581478975704202</v>
      </c>
      <c r="BJ239" s="62">
        <f t="shared" ca="1" si="138"/>
        <v>1.0566407597570133</v>
      </c>
      <c r="BK239" s="62">
        <f t="shared" ca="1" si="138"/>
        <v>1.055316795451352</v>
      </c>
      <c r="BL239" s="62">
        <f t="shared" ca="1" si="138"/>
        <v>1.0541481939644104</v>
      </c>
      <c r="BM239" s="62">
        <f t="shared" ca="1" si="138"/>
        <v>1.0531123016529425</v>
      </c>
      <c r="BN239" s="62">
        <f t="shared" ca="1" si="138"/>
        <v>1.0521899953736031</v>
      </c>
      <c r="BO239" s="62">
        <f t="shared" ca="1" si="138"/>
        <v>1.051366320497906</v>
      </c>
      <c r="BP239" s="62">
        <f t="shared" ca="1" si="138"/>
        <v>1.0506283554218685</v>
      </c>
    </row>
    <row r="240" spans="1:68" x14ac:dyDescent="0.2">
      <c r="A240" s="4"/>
      <c r="B240" s="4"/>
      <c r="C240" s="4"/>
    </row>
    <row r="241" spans="1:68" x14ac:dyDescent="0.2">
      <c r="A241" s="4"/>
      <c r="B241" s="4"/>
      <c r="C241" s="4" t="s">
        <v>204</v>
      </c>
    </row>
    <row r="242" spans="1:68" x14ac:dyDescent="0.2">
      <c r="A242" s="4"/>
      <c r="B242" s="4"/>
      <c r="C242" s="4"/>
      <c r="D242" s="1" t="s">
        <v>205</v>
      </c>
      <c r="I242" s="62">
        <f ca="1">I92/AVERAGE(H109:I109)</f>
        <v>-1.9984902690466353E-2</v>
      </c>
      <c r="J242" s="62">
        <f t="shared" ref="J242:BP242" ca="1" si="139">J92/AVERAGE(I109:J109)</f>
        <v>-3.2114894217762792E-2</v>
      </c>
      <c r="K242" s="62">
        <f t="shared" ca="1" si="139"/>
        <v>-5.0874074972263178E-2</v>
      </c>
      <c r="L242" s="62">
        <f t="shared" ca="1" si="139"/>
        <v>-5.2855485404976171E-2</v>
      </c>
      <c r="M242" s="62">
        <f t="shared" ca="1" si="139"/>
        <v>-6.1632372839743758E-2</v>
      </c>
      <c r="N242" s="62">
        <f t="shared" ca="1" si="139"/>
        <v>-8.3554506957175881E-2</v>
      </c>
      <c r="O242" s="62">
        <f t="shared" ca="1" si="139"/>
        <v>-0.11224568982340324</v>
      </c>
      <c r="P242" s="62">
        <f t="shared" ca="1" si="139"/>
        <v>-0.12729893941936363</v>
      </c>
      <c r="Q242" s="62">
        <f t="shared" ca="1" si="139"/>
        <v>-0.16682200689137153</v>
      </c>
      <c r="R242" s="62">
        <f t="shared" ca="1" si="139"/>
        <v>-0.24081644062073407</v>
      </c>
      <c r="S242" s="62">
        <f t="shared" ca="1" si="139"/>
        <v>-0.36958800578279</v>
      </c>
      <c r="T242" s="62">
        <f t="shared" ca="1" si="139"/>
        <v>-0.70229486792363338</v>
      </c>
      <c r="U242" s="62">
        <f t="shared" ca="1" si="139"/>
        <v>-3.5043437847638774</v>
      </c>
      <c r="V242" s="62">
        <f t="shared" ca="1" si="139"/>
        <v>1.2723120429248</v>
      </c>
      <c r="W242" s="62">
        <f t="shared" ca="1" si="139"/>
        <v>0.55132441601888049</v>
      </c>
      <c r="X242" s="62">
        <f t="shared" ca="1" si="139"/>
        <v>0.34629503738608231</v>
      </c>
      <c r="Y242" s="62">
        <f t="shared" ca="1" si="139"/>
        <v>0.25626387356942987</v>
      </c>
      <c r="Z242" s="62">
        <f t="shared" ca="1" si="139"/>
        <v>0.19737077723608612</v>
      </c>
      <c r="AA242" s="62">
        <f t="shared" ca="1" si="139"/>
        <v>0.15125612499337282</v>
      </c>
      <c r="AB242" s="62">
        <f t="shared" ca="1" si="139"/>
        <v>0.11395603516606778</v>
      </c>
      <c r="AC242" s="62">
        <f t="shared" ca="1" si="139"/>
        <v>8.9764340982591354E-2</v>
      </c>
      <c r="AD242" s="62">
        <f t="shared" ca="1" si="139"/>
        <v>5.3297589857122268E-2</v>
      </c>
      <c r="AE242" s="62">
        <f t="shared" ca="1" si="139"/>
        <v>1.1734820832795959E-2</v>
      </c>
      <c r="AF242" s="62">
        <f t="shared" ca="1" si="139"/>
        <v>-3.6360583334453411E-2</v>
      </c>
      <c r="AG242" s="62">
        <f t="shared" ca="1" si="139"/>
        <v>-0.29145250861737948</v>
      </c>
      <c r="AH242" s="62">
        <f t="shared" ca="1" si="139"/>
        <v>-0.47876437440988218</v>
      </c>
      <c r="AI242" s="62">
        <f t="shared" ca="1" si="139"/>
        <v>-1.10528527046693</v>
      </c>
      <c r="AJ242" s="62">
        <f t="shared" ca="1" si="139"/>
        <v>7.8135512683585038</v>
      </c>
      <c r="AK242" s="62">
        <f t="shared" ca="1" si="139"/>
        <v>0.91091050563348053</v>
      </c>
      <c r="AL242" s="62">
        <f t="shared" ca="1" si="139"/>
        <v>0.38671231972306547</v>
      </c>
      <c r="AM242" s="62">
        <f t="shared" ca="1" si="139"/>
        <v>0.29762537418390589</v>
      </c>
      <c r="AN242" s="62">
        <f t="shared" ca="1" si="139"/>
        <v>0.25496043339401797</v>
      </c>
      <c r="AO242" s="62">
        <f t="shared" ca="1" si="139"/>
        <v>0.2239946950519229</v>
      </c>
      <c r="AP242" s="62">
        <f t="shared" ca="1" si="139"/>
        <v>0.20345584076071258</v>
      </c>
      <c r="AQ242" s="62">
        <f t="shared" ca="1" si="139"/>
        <v>0.18695961314878751</v>
      </c>
      <c r="AR242" s="62">
        <f t="shared" ca="1" si="139"/>
        <v>0.1743665090202588</v>
      </c>
      <c r="AS242" s="62">
        <f t="shared" ca="1" si="139"/>
        <v>0.16558264117720875</v>
      </c>
      <c r="AT242" s="62">
        <f t="shared" ca="1" si="139"/>
        <v>0.15802821000884926</v>
      </c>
      <c r="AU242" s="62">
        <f t="shared" ca="1" si="139"/>
        <v>0.15146433571531234</v>
      </c>
      <c r="AV242" s="62">
        <f t="shared" ca="1" si="139"/>
        <v>0.14560479222638675</v>
      </c>
      <c r="AW242" s="62">
        <f t="shared" ca="1" si="139"/>
        <v>0.14037142600838318</v>
      </c>
      <c r="AX242" s="62">
        <f t="shared" ca="1" si="139"/>
        <v>0.13576668376619186</v>
      </c>
      <c r="AY242" s="62">
        <f t="shared" ca="1" si="139"/>
        <v>0.13168828011994882</v>
      </c>
      <c r="AZ242" s="62">
        <f t="shared" ca="1" si="139"/>
        <v>0.12805825052853562</v>
      </c>
      <c r="BA242" s="62">
        <f t="shared" ca="1" si="139"/>
        <v>0.12481630991006409</v>
      </c>
      <c r="BB242" s="62">
        <f t="shared" ca="1" si="139"/>
        <v>0.12190100206295416</v>
      </c>
      <c r="BC242" s="62">
        <f t="shared" ca="1" si="139"/>
        <v>0.1192743709900546</v>
      </c>
      <c r="BD242" s="62">
        <f t="shared" ca="1" si="139"/>
        <v>0.1169017446855672</v>
      </c>
      <c r="BE242" s="62">
        <f t="shared" ca="1" si="139"/>
        <v>0.13670938597615198</v>
      </c>
      <c r="BF242" s="62">
        <f t="shared" ca="1" si="139"/>
        <v>0.13083128812933581</v>
      </c>
      <c r="BG242" s="62">
        <f t="shared" ca="1" si="139"/>
        <v>0.12641558504367478</v>
      </c>
      <c r="BH242" s="62">
        <f t="shared" ca="1" si="139"/>
        <v>0.122620286944549</v>
      </c>
      <c r="BI242" s="62">
        <f t="shared" ca="1" si="139"/>
        <v>0.11932624931850766</v>
      </c>
      <c r="BJ242" s="62">
        <f t="shared" ca="1" si="139"/>
        <v>0.1164460189217983</v>
      </c>
      <c r="BK242" s="62">
        <f t="shared" ca="1" si="139"/>
        <v>0.11391187612048712</v>
      </c>
      <c r="BL242" s="62">
        <f t="shared" ca="1" si="139"/>
        <v>0.11167185256455814</v>
      </c>
      <c r="BM242" s="62">
        <f t="shared" ca="1" si="139"/>
        <v>0.10968346167806964</v>
      </c>
      <c r="BN242" s="62">
        <f t="shared" ca="1" si="139"/>
        <v>0.10791044543919975</v>
      </c>
      <c r="BO242" s="62">
        <f t="shared" ca="1" si="139"/>
        <v>0.10632490031407824</v>
      </c>
      <c r="BP242" s="62">
        <f t="shared" ca="1" si="139"/>
        <v>0.10490239545447541</v>
      </c>
    </row>
    <row r="243" spans="1:68" x14ac:dyDescent="0.2">
      <c r="A243" s="4"/>
      <c r="B243" s="4"/>
      <c r="C243" s="4"/>
      <c r="D243" s="1" t="s">
        <v>206</v>
      </c>
      <c r="I243" s="62">
        <f ca="1">I92/AVERAGE(H128:I128)</f>
        <v>-2.0055991650001301E-2</v>
      </c>
      <c r="J243" s="62">
        <f t="shared" ref="J243:BP243" ca="1" si="140">J92/AVERAGE(I128:J128)</f>
        <v>-3.2256364085769922E-2</v>
      </c>
      <c r="K243" s="62">
        <f t="shared" ca="1" si="140"/>
        <v>-7.9131630592522303E-2</v>
      </c>
      <c r="L243" s="62">
        <f t="shared" ca="1" si="140"/>
        <v>-0.11649349439732823</v>
      </c>
      <c r="M243" s="62">
        <f t="shared" ca="1" si="140"/>
        <v>-0.14407748882992144</v>
      </c>
      <c r="N243" s="62">
        <f t="shared" ca="1" si="140"/>
        <v>-0.21358083674642869</v>
      </c>
      <c r="O243" s="62">
        <f t="shared" ca="1" si="140"/>
        <v>-0.33499237442361318</v>
      </c>
      <c r="P243" s="62">
        <f t="shared" ca="1" si="140"/>
        <v>-0.49602425193562655</v>
      </c>
      <c r="Q243" s="62">
        <f t="shared" ca="1" si="140"/>
        <v>-1.1511731561283955</v>
      </c>
      <c r="R243" s="62">
        <f t="shared" ca="1" si="140"/>
        <v>5.5638149837806505</v>
      </c>
      <c r="S243" s="62">
        <f t="shared" ca="1" si="140"/>
        <v>0.89561904356956246</v>
      </c>
      <c r="T243" s="62">
        <f t="shared" ca="1" si="140"/>
        <v>0.50441325063596287</v>
      </c>
      <c r="U243" s="62">
        <f t="shared" ca="1" si="140"/>
        <v>0.34935488047138674</v>
      </c>
      <c r="V243" s="62">
        <f t="shared" ca="1" si="140"/>
        <v>0.27577835058838329</v>
      </c>
      <c r="W243" s="62">
        <f t="shared" ca="1" si="140"/>
        <v>0.22465537954216072</v>
      </c>
      <c r="X243" s="62">
        <f t="shared" ca="1" si="140"/>
        <v>0.18410434455659283</v>
      </c>
      <c r="Y243" s="62">
        <f t="shared" ca="1" si="140"/>
        <v>0.15830680873424507</v>
      </c>
      <c r="Z243" s="62">
        <f t="shared" ca="1" si="140"/>
        <v>0.13424610032255632</v>
      </c>
      <c r="AA243" s="62">
        <f t="shared" ca="1" si="140"/>
        <v>0.1098268516289669</v>
      </c>
      <c r="AB243" s="62">
        <f t="shared" ca="1" si="140"/>
        <v>8.6599587358415997E-2</v>
      </c>
      <c r="AC243" s="62">
        <f t="shared" ca="1" si="140"/>
        <v>7.0462927810991602E-2</v>
      </c>
      <c r="AD243" s="62">
        <f t="shared" ca="1" si="140"/>
        <v>4.2789214762664243E-2</v>
      </c>
      <c r="AE243" s="62">
        <f t="shared" ca="1" si="140"/>
        <v>9.5476847878837121E-3</v>
      </c>
      <c r="AF243" s="62">
        <f t="shared" ca="1" si="140"/>
        <v>-2.9691112284311972E-2</v>
      </c>
      <c r="AG243" s="62">
        <f t="shared" ca="1" si="140"/>
        <v>-0.23323158884308898</v>
      </c>
      <c r="AH243" s="62">
        <f t="shared" ca="1" si="140"/>
        <v>-0.35747524660979785</v>
      </c>
      <c r="AI243" s="62">
        <f t="shared" ca="1" si="140"/>
        <v>-0.66937468641635467</v>
      </c>
      <c r="AJ243" s="62">
        <f t="shared" ca="1" si="140"/>
        <v>-2.7799846635242638</v>
      </c>
      <c r="AK243" s="62">
        <f t="shared" ca="1" si="140"/>
        <v>1.5854973105584453</v>
      </c>
      <c r="AL243" s="62">
        <f t="shared" ca="1" si="140"/>
        <v>0.54337838464874122</v>
      </c>
      <c r="AM243" s="62">
        <f t="shared" ca="1" si="140"/>
        <v>0.39263715535518751</v>
      </c>
      <c r="AN243" s="62">
        <f t="shared" ca="1" si="140"/>
        <v>0.31488833691096979</v>
      </c>
      <c r="AO243" s="62">
        <f t="shared" ca="1" si="140"/>
        <v>0.26538926719917988</v>
      </c>
      <c r="AP243" s="62">
        <f t="shared" ca="1" si="140"/>
        <v>0.23438521870471063</v>
      </c>
      <c r="AQ243" s="62">
        <f t="shared" ca="1" si="140"/>
        <v>0.21112504148159514</v>
      </c>
      <c r="AR243" s="62">
        <f t="shared" ca="1" si="140"/>
        <v>0.19400331382613745</v>
      </c>
      <c r="AS243" s="62">
        <f t="shared" ca="1" si="140"/>
        <v>0.1821963149283278</v>
      </c>
      <c r="AT243" s="62">
        <f t="shared" ca="1" si="140"/>
        <v>0.17239814747419868</v>
      </c>
      <c r="AU243" s="62">
        <f t="shared" ca="1" si="140"/>
        <v>0.1640984000151286</v>
      </c>
      <c r="AV243" s="62">
        <f t="shared" ca="1" si="140"/>
        <v>0.15698149542577147</v>
      </c>
      <c r="AW243" s="62">
        <f t="shared" ca="1" si="140"/>
        <v>0.15081851930535939</v>
      </c>
      <c r="AX243" s="62">
        <f t="shared" ca="1" si="140"/>
        <v>0.14543675563618319</v>
      </c>
      <c r="AY243" s="62">
        <f t="shared" ca="1" si="140"/>
        <v>0.14070159401884785</v>
      </c>
      <c r="AZ243" s="62">
        <f t="shared" ca="1" si="140"/>
        <v>0.13651126936521579</v>
      </c>
      <c r="BA243" s="62">
        <f t="shared" ca="1" si="140"/>
        <v>0.13278774106216984</v>
      </c>
      <c r="BB243" s="62">
        <f t="shared" ca="1" si="140"/>
        <v>0.12945482222195182</v>
      </c>
      <c r="BC243" s="62">
        <f t="shared" ca="1" si="140"/>
        <v>0.12646389270495587</v>
      </c>
      <c r="BD243" s="62">
        <f t="shared" ca="1" si="140"/>
        <v>0.12377184667830685</v>
      </c>
      <c r="BE243" s="62">
        <f t="shared" ca="1" si="140"/>
        <v>0.14528877461359579</v>
      </c>
      <c r="BF243" s="62">
        <f t="shared" ca="1" si="140"/>
        <v>0.13938673067792798</v>
      </c>
      <c r="BG243" s="62">
        <f t="shared" ca="1" si="140"/>
        <v>0.13437298663132144</v>
      </c>
      <c r="BH243" s="62">
        <f t="shared" ca="1" si="140"/>
        <v>0.13007624192401282</v>
      </c>
      <c r="BI243" s="62">
        <f t="shared" ca="1" si="140"/>
        <v>0.12636130686494329</v>
      </c>
      <c r="BJ243" s="62">
        <f t="shared" ca="1" si="140"/>
        <v>0.12312395793361798</v>
      </c>
      <c r="BK243" s="62">
        <f t="shared" ca="1" si="140"/>
        <v>0.12028398853512079</v>
      </c>
      <c r="BL243" s="62">
        <f t="shared" ca="1" si="140"/>
        <v>0.11778008907181306</v>
      </c>
      <c r="BM243" s="62">
        <f t="shared" ca="1" si="140"/>
        <v>0.11556253034734654</v>
      </c>
      <c r="BN243" s="62">
        <f t="shared" ca="1" si="140"/>
        <v>0.11358922804410343</v>
      </c>
      <c r="BO243" s="62">
        <f t="shared" ca="1" si="140"/>
        <v>0.11182775940595559</v>
      </c>
      <c r="BP243" s="62">
        <f t="shared" ca="1" si="140"/>
        <v>0.11025000463641872</v>
      </c>
    </row>
    <row r="244" spans="1:68" x14ac:dyDescent="0.2">
      <c r="A244" s="4"/>
      <c r="B244" s="4"/>
      <c r="C244" s="4"/>
      <c r="D244" s="1" t="s">
        <v>207</v>
      </c>
      <c r="I244" s="63">
        <f t="shared" ref="I244:AN244" ca="1" si="141">I47/I22</f>
        <v>-1.2379844961240309</v>
      </c>
      <c r="J244" s="63">
        <f t="shared" ca="1" si="141"/>
        <v>-3.7910179640718562</v>
      </c>
      <c r="K244" s="63">
        <f t="shared" ca="1" si="141"/>
        <v>-9.1379629629629626</v>
      </c>
      <c r="L244" s="63">
        <f t="shared" ca="1" si="141"/>
        <v>-9.7166666666666668</v>
      </c>
      <c r="M244" s="63">
        <f t="shared" ca="1" si="141"/>
        <v>-8.3679522497704308</v>
      </c>
      <c r="N244" s="63">
        <f t="shared" ca="1" si="141"/>
        <v>-8.0579617834394899</v>
      </c>
      <c r="O244" s="63">
        <f t="shared" ca="1" si="141"/>
        <v>-7.9065573770491806</v>
      </c>
      <c r="P244" s="63">
        <f t="shared" ca="1" si="141"/>
        <v>-5.9371681415929203</v>
      </c>
      <c r="Q244" s="63">
        <f t="shared" ca="1" si="141"/>
        <v>-5.1885640025990902</v>
      </c>
      <c r="R244" s="63">
        <f t="shared" ca="1" si="141"/>
        <v>-4.7470323065364388</v>
      </c>
      <c r="S244" s="63">
        <f t="shared" ca="1" si="141"/>
        <v>-3.9349942062572421</v>
      </c>
      <c r="T244" s="63">
        <f t="shared" ca="1" si="141"/>
        <v>-3.2266041387524194</v>
      </c>
      <c r="U244" s="63">
        <f t="shared" ca="1" si="141"/>
        <v>-2.596640293544318</v>
      </c>
      <c r="V244" s="63">
        <f t="shared" ca="1" si="141"/>
        <v>-2.1594771241830069</v>
      </c>
      <c r="W244" s="63">
        <f t="shared" ca="1" si="141"/>
        <v>-1.6639455782312924</v>
      </c>
      <c r="X244" s="63">
        <f t="shared" ca="1" si="141"/>
        <v>-1.2451430367808864</v>
      </c>
      <c r="Y244" s="63">
        <f t="shared" ca="1" si="141"/>
        <v>-0.94427228342008651</v>
      </c>
      <c r="Z244" s="63">
        <f t="shared" ca="1" si="141"/>
        <v>-0.64020137982472491</v>
      </c>
      <c r="AA244" s="63">
        <f t="shared" ca="1" si="141"/>
        <v>-0.38901175175318919</v>
      </c>
      <c r="AB244" s="63">
        <f t="shared" ca="1" si="141"/>
        <v>-0.18245594632455953</v>
      </c>
      <c r="AC244" s="63">
        <f t="shared" ca="1" si="141"/>
        <v>-3.108754595914423E-2</v>
      </c>
      <c r="AD244" s="63">
        <f t="shared" ca="1" si="141"/>
        <v>0.11098975586823651</v>
      </c>
      <c r="AE244" s="63">
        <f t="shared" ca="1" si="141"/>
        <v>0.2263955544329376</v>
      </c>
      <c r="AF244" s="63">
        <f t="shared" ca="1" si="141"/>
        <v>0.31337950084618826</v>
      </c>
      <c r="AG244" s="63">
        <f t="shared" ca="1" si="141"/>
        <v>0.60721917242193502</v>
      </c>
      <c r="AH244" s="63">
        <f t="shared" ca="1" si="141"/>
        <v>0.61788754191385087</v>
      </c>
      <c r="AI244" s="63">
        <f t="shared" ca="1" si="141"/>
        <v>0.63388513034247618</v>
      </c>
      <c r="AJ244" s="63">
        <f t="shared" ca="1" si="141"/>
        <v>0.6492830296229003</v>
      </c>
      <c r="AK244" s="63">
        <f t="shared" ca="1" si="141"/>
        <v>0.66405915547771943</v>
      </c>
      <c r="AL244" s="63">
        <f t="shared" ca="1" si="141"/>
        <v>0.67451045518625952</v>
      </c>
      <c r="AM244" s="63">
        <f t="shared" ca="1" si="141"/>
        <v>0.68834485678001978</v>
      </c>
      <c r="AN244" s="63">
        <f t="shared" ca="1" si="141"/>
        <v>0.70151266312508975</v>
      </c>
      <c r="AO244" s="63">
        <f t="shared" ref="AO244:BP244" ca="1" si="142">AO47/AO22</f>
        <v>0.71123565474500106</v>
      </c>
      <c r="AP244" s="63">
        <f t="shared" ca="1" si="142"/>
        <v>0.72334618318772692</v>
      </c>
      <c r="AQ244" s="63">
        <f t="shared" ca="1" si="142"/>
        <v>0.7324946529801416</v>
      </c>
      <c r="AR244" s="63">
        <f t="shared" ca="1" si="142"/>
        <v>0.74352322682410954</v>
      </c>
      <c r="AS244" s="63">
        <f t="shared" ca="1" si="142"/>
        <v>0.75761846334965466</v>
      </c>
      <c r="AT244" s="63">
        <f t="shared" ca="1" si="142"/>
        <v>0.77044379521424589</v>
      </c>
      <c r="AU244" s="63">
        <f t="shared" ca="1" si="142"/>
        <v>0.7821142842675578</v>
      </c>
      <c r="AV244" s="63">
        <f t="shared" ca="1" si="142"/>
        <v>0.79273367860130461</v>
      </c>
      <c r="AW244" s="63">
        <f t="shared" ca="1" si="142"/>
        <v>0.8023962058981513</v>
      </c>
      <c r="AX244" s="63">
        <f t="shared" ca="1" si="142"/>
        <v>0.81118835935693212</v>
      </c>
      <c r="AY244" s="63">
        <f t="shared" ca="1" si="142"/>
        <v>0.81918863217268678</v>
      </c>
      <c r="AZ244" s="63">
        <f t="shared" ca="1" si="142"/>
        <v>0.82646812072256659</v>
      </c>
      <c r="BA244" s="63">
        <f t="shared" ca="1" si="142"/>
        <v>0.83309192540782484</v>
      </c>
      <c r="BB244" s="63">
        <f t="shared" ca="1" si="142"/>
        <v>0.83911906513034229</v>
      </c>
      <c r="BC244" s="63">
        <f t="shared" ca="1" si="142"/>
        <v>0.84460332261091597</v>
      </c>
      <c r="BD244" s="63">
        <f t="shared" ca="1" si="142"/>
        <v>0.849593466230667</v>
      </c>
      <c r="BE244" s="63">
        <f t="shared" ca="1" si="142"/>
        <v>0.86177845417087873</v>
      </c>
      <c r="BF244" s="63">
        <f t="shared" ca="1" si="142"/>
        <v>0.86522146689783885</v>
      </c>
      <c r="BG244" s="63">
        <f t="shared" ca="1" si="142"/>
        <v>0.86835436048027981</v>
      </c>
      <c r="BH244" s="63">
        <f t="shared" ca="1" si="142"/>
        <v>0.87120504527803722</v>
      </c>
      <c r="BI244" s="63">
        <f t="shared" ca="1" si="142"/>
        <v>0.8737989288298722</v>
      </c>
      <c r="BJ244" s="63">
        <f t="shared" ca="1" si="142"/>
        <v>0.87615916080246026</v>
      </c>
      <c r="BK244" s="63">
        <f t="shared" ca="1" si="142"/>
        <v>0.87830677791766265</v>
      </c>
      <c r="BL244" s="63">
        <f t="shared" ca="1" si="142"/>
        <v>0.88026094553091383</v>
      </c>
      <c r="BM244" s="63">
        <f t="shared" ca="1" si="142"/>
        <v>0.88203906601986093</v>
      </c>
      <c r="BN244" s="63">
        <f t="shared" ca="1" si="142"/>
        <v>0.8836570079364201</v>
      </c>
      <c r="BO244" s="63">
        <f t="shared" ca="1" si="142"/>
        <v>0.88512920980094056</v>
      </c>
      <c r="BP244" s="63">
        <f t="shared" ca="1" si="142"/>
        <v>0.88646879799263067</v>
      </c>
    </row>
    <row r="245" spans="1:68" x14ac:dyDescent="0.2">
      <c r="A245" s="4"/>
      <c r="B245" s="4"/>
      <c r="C245" s="4"/>
      <c r="D245" s="1" t="s">
        <v>208</v>
      </c>
      <c r="I245" s="63">
        <f t="shared" ref="I245:AN245" ca="1" si="143">I92/I22</f>
        <v>-7.6207975229328175</v>
      </c>
      <c r="J245" s="63">
        <f t="shared" ca="1" si="143"/>
        <v>-9.3174364196104662</v>
      </c>
      <c r="K245" s="63">
        <f t="shared" ca="1" si="143"/>
        <v>-16.725549359061983</v>
      </c>
      <c r="L245" s="63">
        <f t="shared" ca="1" si="143"/>
        <v>-17.238851804159651</v>
      </c>
      <c r="M245" s="63">
        <f t="shared" ca="1" si="143"/>
        <v>-14.447105614443025</v>
      </c>
      <c r="N245" s="63">
        <f t="shared" ca="1" si="143"/>
        <v>-13.83875981771177</v>
      </c>
      <c r="O245" s="63">
        <f t="shared" ca="1" si="143"/>
        <v>-12.822088902327108</v>
      </c>
      <c r="P245" s="63">
        <f t="shared" ca="1" si="143"/>
        <v>-9.7666933261878768</v>
      </c>
      <c r="Q245" s="63">
        <f t="shared" ca="1" si="143"/>
        <v>-8.3403251467205859</v>
      </c>
      <c r="R245" s="63">
        <f t="shared" ca="1" si="143"/>
        <v>-7.4009636158560523</v>
      </c>
      <c r="S245" s="63">
        <f t="shared" ca="1" si="143"/>
        <v>-6.292136867204845</v>
      </c>
      <c r="T245" s="63">
        <f t="shared" ca="1" si="143"/>
        <v>-5.2890520554805969</v>
      </c>
      <c r="U245" s="63">
        <f t="shared" ca="1" si="143"/>
        <v>-4.2807465171776791</v>
      </c>
      <c r="V245" s="63">
        <f t="shared" ca="1" si="143"/>
        <v>-3.5465944740063899</v>
      </c>
      <c r="W245" s="63">
        <f t="shared" ca="1" si="143"/>
        <v>-2.8524713743356358</v>
      </c>
      <c r="X245" s="63">
        <f t="shared" ca="1" si="143"/>
        <v>-2.2056813919515137</v>
      </c>
      <c r="Y245" s="63">
        <f t="shared" ca="1" si="143"/>
        <v>-1.7321898084645575</v>
      </c>
      <c r="Z245" s="63">
        <f t="shared" ca="1" si="143"/>
        <v>-1.3087334901741769</v>
      </c>
      <c r="AA245" s="63">
        <f t="shared" ca="1" si="143"/>
        <v>-0.9310675602338857</v>
      </c>
      <c r="AB245" s="63">
        <f t="shared" ca="1" si="143"/>
        <v>-0.62343691373116528</v>
      </c>
      <c r="AC245" s="63">
        <f t="shared" ca="1" si="143"/>
        <v>-0.4224752534697635</v>
      </c>
      <c r="AD245" s="63">
        <f t="shared" ca="1" si="143"/>
        <v>-0.20901534628329896</v>
      </c>
      <c r="AE245" s="63">
        <f t="shared" ca="1" si="143"/>
        <v>-3.6861362750115298E-2</v>
      </c>
      <c r="AF245" s="63">
        <f t="shared" ca="1" si="143"/>
        <v>8.7404016307448873E-2</v>
      </c>
      <c r="AG245" s="63">
        <f t="shared" ca="1" si="143"/>
        <v>0.44115103890697083</v>
      </c>
      <c r="AH245" s="63">
        <f t="shared" ca="1" si="143"/>
        <v>0.46129675370746082</v>
      </c>
      <c r="AI245" s="63">
        <f t="shared" ca="1" si="143"/>
        <v>0.48385292972270622</v>
      </c>
      <c r="AJ245" s="63">
        <f t="shared" ca="1" si="143"/>
        <v>0.50923806837417507</v>
      </c>
      <c r="AK245" s="63">
        <f t="shared" ca="1" si="143"/>
        <v>0.49751650281600474</v>
      </c>
      <c r="AL245" s="63">
        <f t="shared" ca="1" si="143"/>
        <v>0.38207801182441664</v>
      </c>
      <c r="AM245" s="63">
        <f t="shared" ca="1" si="143"/>
        <v>0.39768683061954996</v>
      </c>
      <c r="AN245" s="63">
        <f t="shared" ca="1" si="143"/>
        <v>0.41224403421518807</v>
      </c>
      <c r="AO245" s="63">
        <f t="shared" ref="AO245:BP245" ca="1" si="144">AO92/AO22</f>
        <v>0.42209610178371082</v>
      </c>
      <c r="AP245" s="63">
        <f t="shared" ca="1" si="144"/>
        <v>0.43541668152098284</v>
      </c>
      <c r="AQ245" s="63">
        <f t="shared" ca="1" si="144"/>
        <v>0.44595851812756088</v>
      </c>
      <c r="AR245" s="63">
        <f t="shared" ca="1" si="144"/>
        <v>0.45673234924948236</v>
      </c>
      <c r="AS245" s="63">
        <f t="shared" ca="1" si="144"/>
        <v>0.47107093265447048</v>
      </c>
      <c r="AT245" s="63">
        <f t="shared" ca="1" si="144"/>
        <v>0.48427949739876902</v>
      </c>
      <c r="AU245" s="63">
        <f t="shared" ca="1" si="144"/>
        <v>0.4963189137684258</v>
      </c>
      <c r="AV245" s="63">
        <f t="shared" ca="1" si="144"/>
        <v>0.50728783946509703</v>
      </c>
      <c r="AW245" s="63">
        <f t="shared" ca="1" si="144"/>
        <v>0.51728616042989406</v>
      </c>
      <c r="AX245" s="63">
        <f t="shared" ca="1" si="144"/>
        <v>0.5263997525289269</v>
      </c>
      <c r="AY245" s="63">
        <f t="shared" ca="1" si="144"/>
        <v>0.53469940484365797</v>
      </c>
      <c r="AZ245" s="63">
        <f t="shared" ca="1" si="144"/>
        <v>0.54226522895498763</v>
      </c>
      <c r="BA245" s="63">
        <f t="shared" ca="1" si="144"/>
        <v>0.54918112227692295</v>
      </c>
      <c r="BB245" s="63">
        <f t="shared" ca="1" si="144"/>
        <v>0.55546674604794022</v>
      </c>
      <c r="BC245" s="63">
        <f t="shared" ca="1" si="144"/>
        <v>0.56119674729143032</v>
      </c>
      <c r="BD245" s="63">
        <f t="shared" ca="1" si="144"/>
        <v>0.56642961441932171</v>
      </c>
      <c r="BE245" s="63">
        <f t="shared" ca="1" si="144"/>
        <v>0.57731004491956273</v>
      </c>
      <c r="BF245" s="63">
        <f t="shared" ca="1" si="144"/>
        <v>0.58107359935312386</v>
      </c>
      <c r="BG245" s="63">
        <f t="shared" ca="1" si="144"/>
        <v>0.58450573274941442</v>
      </c>
      <c r="BH245" s="63">
        <f t="shared" ca="1" si="144"/>
        <v>0.58765674532097634</v>
      </c>
      <c r="BI245" s="63">
        <f t="shared" ca="1" si="144"/>
        <v>0.59054337529093281</v>
      </c>
      <c r="BJ245" s="63">
        <f t="shared" ca="1" si="144"/>
        <v>0.5931768902041632</v>
      </c>
      <c r="BK245" s="63">
        <f t="shared" ca="1" si="144"/>
        <v>0.59557314903990222</v>
      </c>
      <c r="BL245" s="63">
        <f t="shared" ca="1" si="144"/>
        <v>0.59775762015338263</v>
      </c>
      <c r="BM245" s="63">
        <f t="shared" ca="1" si="144"/>
        <v>0.59975238840018141</v>
      </c>
      <c r="BN245" s="63">
        <f t="shared" ca="1" si="144"/>
        <v>0.60156747015977208</v>
      </c>
      <c r="BO245" s="63">
        <f t="shared" ca="1" si="144"/>
        <v>0.60322353056687739</v>
      </c>
      <c r="BP245" s="63">
        <f t="shared" ca="1" si="144"/>
        <v>0.60473309903303674</v>
      </c>
    </row>
    <row r="246" spans="1:68" x14ac:dyDescent="0.2">
      <c r="A246" s="4"/>
      <c r="B246" s="4"/>
      <c r="C246" s="4"/>
      <c r="D246" s="1" t="s">
        <v>209</v>
      </c>
      <c r="I246" s="61">
        <f ca="1">I92/I126</f>
        <v>-1.9661657609166668E-2</v>
      </c>
      <c r="J246" s="61">
        <f t="shared" ref="J246:BP246" ca="1" si="145">J92/J126</f>
        <v>-3.112023764149896E-2</v>
      </c>
      <c r="K246" s="61">
        <f t="shared" ca="1" si="145"/>
        <v>-7.2254373231147764E-2</v>
      </c>
      <c r="L246" s="61">
        <f t="shared" ca="1" si="145"/>
        <v>-9.6537570103294043E-2</v>
      </c>
      <c r="M246" s="61">
        <f t="shared" ca="1" si="145"/>
        <v>-0.10488598676085636</v>
      </c>
      <c r="N246" s="61">
        <f t="shared" ca="1" si="145"/>
        <v>-0.13036111748284487</v>
      </c>
      <c r="O246" s="61">
        <f t="shared" ca="1" si="145"/>
        <v>-0.15642948460839071</v>
      </c>
      <c r="P246" s="61">
        <f t="shared" ca="1" si="145"/>
        <v>-0.15450908842029221</v>
      </c>
      <c r="Q246" s="61">
        <f t="shared" ca="1" si="145"/>
        <v>-0.1711434720107064</v>
      </c>
      <c r="R246" s="61">
        <f t="shared" ca="1" si="145"/>
        <v>-0.19701365145408811</v>
      </c>
      <c r="S246" s="61">
        <f t="shared" ca="1" si="145"/>
        <v>-0.21720456465591123</v>
      </c>
      <c r="T246" s="61">
        <f t="shared" ca="1" si="145"/>
        <v>-0.23684375104442112</v>
      </c>
      <c r="U246" s="61">
        <f t="shared" ca="1" si="145"/>
        <v>-0.24888260250871025</v>
      </c>
      <c r="V246" s="61">
        <f t="shared" ca="1" si="145"/>
        <v>-0.26769695089800233</v>
      </c>
      <c r="W246" s="61">
        <f t="shared" ca="1" si="145"/>
        <v>-0.27954219468489233</v>
      </c>
      <c r="X246" s="61">
        <f t="shared" ca="1" si="145"/>
        <v>-0.28065090031191059</v>
      </c>
      <c r="Y246" s="61">
        <f t="shared" ca="1" si="145"/>
        <v>-0.28619240015451419</v>
      </c>
      <c r="Z246" s="61">
        <f t="shared" ca="1" si="145"/>
        <v>-0.28074950831216444</v>
      </c>
      <c r="AA246" s="61">
        <f t="shared" ca="1" si="145"/>
        <v>-0.25933955822754651</v>
      </c>
      <c r="AB246" s="61">
        <f t="shared" ca="1" si="145"/>
        <v>-0.22548466295828784</v>
      </c>
      <c r="AC246" s="61">
        <f t="shared" ca="1" si="145"/>
        <v>-0.19840282853447036</v>
      </c>
      <c r="AD246" s="61">
        <f t="shared" ca="1" si="145"/>
        <v>-0.12745337785663002</v>
      </c>
      <c r="AE246" s="61">
        <f t="shared" ca="1" si="145"/>
        <v>-2.9186827025541293E-2</v>
      </c>
      <c r="AF246" s="61">
        <f t="shared" ca="1" si="145"/>
        <v>8.9863565326340489E-2</v>
      </c>
      <c r="AG246" s="61">
        <f t="shared" ca="1" si="145"/>
        <v>0.62279497917691606</v>
      </c>
      <c r="AH246" s="61">
        <f t="shared" ca="1" si="145"/>
        <v>0.71537900564953016</v>
      </c>
      <c r="AI246" s="61">
        <f t="shared" ca="1" si="145"/>
        <v>0.82425556210587314</v>
      </c>
      <c r="AJ246" s="61">
        <f t="shared" ca="1" si="145"/>
        <v>0.95293719734859372</v>
      </c>
      <c r="AK246" s="61">
        <f t="shared" ca="1" si="145"/>
        <v>1.0226949231885794</v>
      </c>
      <c r="AL246" s="61">
        <f t="shared" ca="1" si="145"/>
        <v>0.86275125460012392</v>
      </c>
      <c r="AM246" s="61">
        <f t="shared" ca="1" si="145"/>
        <v>0.9864422990102627</v>
      </c>
      <c r="AN246" s="61">
        <f t="shared" ca="1" si="145"/>
        <v>1.1232722383286891</v>
      </c>
      <c r="AO246" s="61">
        <f t="shared" ca="1" si="145"/>
        <v>1.2633969470539139</v>
      </c>
      <c r="AP246" s="61">
        <f t="shared" ca="1" si="145"/>
        <v>1.4316391634239536</v>
      </c>
      <c r="AQ246" s="61">
        <f t="shared" ca="1" si="145"/>
        <v>1.6107241247360775</v>
      </c>
      <c r="AR246" s="61">
        <f t="shared" ca="1" si="145"/>
        <v>1.812119850573515</v>
      </c>
      <c r="AS246" s="61">
        <f t="shared" ca="1" si="145"/>
        <v>2.0540341411999203</v>
      </c>
      <c r="AT246" s="61">
        <f t="shared" ca="1" si="145"/>
        <v>2.320667351534901</v>
      </c>
      <c r="AU246" s="61">
        <f t="shared" ca="1" si="145"/>
        <v>2.6138139274700376</v>
      </c>
      <c r="AV246" s="61">
        <f t="shared" ca="1" si="145"/>
        <v>2.9360678750601021</v>
      </c>
      <c r="AW246" s="61">
        <f t="shared" ca="1" si="145"/>
        <v>3.2903279449544485</v>
      </c>
      <c r="AX246" s="61">
        <f t="shared" ca="1" si="145"/>
        <v>3.6797711500658372</v>
      </c>
      <c r="AY246" s="61">
        <f t="shared" ca="1" si="145"/>
        <v>4.1078281777114016</v>
      </c>
      <c r="AZ246" s="61">
        <f t="shared" ca="1" si="145"/>
        <v>4.5783724413284084</v>
      </c>
      <c r="BA246" s="61">
        <f t="shared" ca="1" si="145"/>
        <v>5.0957967154953403</v>
      </c>
      <c r="BB246" s="61">
        <f t="shared" ca="1" si="145"/>
        <v>5.6643721428238702</v>
      </c>
      <c r="BC246" s="61">
        <f t="shared" ca="1" si="145"/>
        <v>6.2893600067324247</v>
      </c>
      <c r="BD246" s="61">
        <f t="shared" ca="1" si="145"/>
        <v>6.9764445067359357</v>
      </c>
      <c r="BE246" s="61">
        <f t="shared" ca="1" si="145"/>
        <v>9.3772586058293559</v>
      </c>
      <c r="BF246" s="61">
        <f t="shared" ca="1" si="145"/>
        <v>10.372773875732582</v>
      </c>
      <c r="BG246" s="61">
        <f t="shared" ca="1" si="145"/>
        <v>11.467002971740511</v>
      </c>
      <c r="BH246" s="61">
        <f t="shared" ca="1" si="145"/>
        <v>12.670167380925456</v>
      </c>
      <c r="BI246" s="61">
        <f t="shared" ca="1" si="145"/>
        <v>13.992901655783642</v>
      </c>
      <c r="BJ246" s="61">
        <f t="shared" ca="1" si="145"/>
        <v>15.446771103584062</v>
      </c>
      <c r="BK246" s="61">
        <f t="shared" ca="1" si="145"/>
        <v>17.044570970548683</v>
      </c>
      <c r="BL246" s="61">
        <f t="shared" ca="1" si="145"/>
        <v>18.800690601792795</v>
      </c>
      <c r="BM246" s="61">
        <f t="shared" ca="1" si="145"/>
        <v>20.730897116867453</v>
      </c>
      <c r="BN246" s="61">
        <f t="shared" ca="1" si="145"/>
        <v>22.852188648887179</v>
      </c>
      <c r="BO246" s="61">
        <f t="shared" ca="1" si="145"/>
        <v>25.183683598106587</v>
      </c>
      <c r="BP246" s="61">
        <f t="shared" ca="1" si="145"/>
        <v>27.746128203925171</v>
      </c>
    </row>
    <row r="247" spans="1:68" x14ac:dyDescent="0.2">
      <c r="A247" s="4"/>
      <c r="B247" s="4"/>
      <c r="C247" s="4"/>
    </row>
    <row r="248" spans="1:68" x14ac:dyDescent="0.2">
      <c r="A248" s="4"/>
      <c r="B248" s="4"/>
      <c r="C248" s="4" t="s">
        <v>210</v>
      </c>
    </row>
    <row r="249" spans="1:68" x14ac:dyDescent="0.2">
      <c r="D249" s="1" t="s">
        <v>211</v>
      </c>
      <c r="I249" s="62">
        <f ca="1">I118/I109</f>
        <v>0</v>
      </c>
      <c r="J249" s="62">
        <f t="shared" ref="J249:BP249" ca="1" si="146">J118/J109</f>
        <v>0</v>
      </c>
      <c r="K249" s="62">
        <f t="shared" ca="1" si="146"/>
        <v>0.53014185799600977</v>
      </c>
      <c r="L249" s="62">
        <f t="shared" ca="1" si="146"/>
        <v>0.55145241102423936</v>
      </c>
      <c r="M249" s="62">
        <f t="shared" ca="1" si="146"/>
        <v>0.57928141912598263</v>
      </c>
      <c r="N249" s="62">
        <f t="shared" ca="1" si="146"/>
        <v>0.62172978388977851</v>
      </c>
      <c r="O249" s="62">
        <f t="shared" ca="1" si="146"/>
        <v>0.68728168019482816</v>
      </c>
      <c r="P249" s="62">
        <f t="shared" ca="1" si="146"/>
        <v>0.77419673719210158</v>
      </c>
      <c r="Q249" s="62">
        <f t="shared" ca="1" si="146"/>
        <v>0.90881080283374083</v>
      </c>
      <c r="R249" s="62">
        <f t="shared" ca="1" si="146"/>
        <v>1.1540586365629564</v>
      </c>
      <c r="S249" s="62">
        <f t="shared" ca="1" si="146"/>
        <v>1.6914540895865664</v>
      </c>
      <c r="T249" s="62">
        <f t="shared" ca="1" si="146"/>
        <v>3.6880135973310777</v>
      </c>
      <c r="U249" s="62">
        <f t="shared" ca="1" si="146"/>
        <v>-11.326309454210319</v>
      </c>
      <c r="V249" s="62">
        <f t="shared" ca="1" si="146"/>
        <v>-1.9963697223235664</v>
      </c>
      <c r="W249" s="62">
        <f t="shared" ca="1" si="146"/>
        <v>-1.0376805393728663</v>
      </c>
      <c r="X249" s="62">
        <f t="shared" ca="1" si="146"/>
        <v>-0.68156701303740608</v>
      </c>
      <c r="Y249" s="62">
        <f t="shared" ca="1" si="146"/>
        <v>-0.49470446000856549</v>
      </c>
      <c r="Z249" s="62">
        <f t="shared" ca="1" si="146"/>
        <v>-0.38214638398397899</v>
      </c>
      <c r="AA249" s="62">
        <f t="shared" ca="1" si="146"/>
        <v>-0.30937171068880021</v>
      </c>
      <c r="AB249" s="62">
        <f t="shared" ca="1" si="146"/>
        <v>-0.25992864499484081</v>
      </c>
      <c r="AC249" s="62">
        <f t="shared" ca="1" si="146"/>
        <v>-0.22373052263946322</v>
      </c>
      <c r="AD249" s="62">
        <f t="shared" ca="1" si="146"/>
        <v>-0.19920308332426706</v>
      </c>
      <c r="AE249" s="62">
        <f t="shared" ca="1" si="146"/>
        <v>-0.18444068138782924</v>
      </c>
      <c r="AF249" s="62">
        <f t="shared" ca="1" si="146"/>
        <v>-0.17877583475916856</v>
      </c>
      <c r="AG249" s="62">
        <f t="shared" ca="1" si="146"/>
        <v>-0.22095649233408018</v>
      </c>
      <c r="AH249" s="62">
        <f t="shared" ca="1" si="146"/>
        <v>-0.32983825244686077</v>
      </c>
      <c r="AI249" s="62">
        <f t="shared" ca="1" si="146"/>
        <v>-1.0177918964842352</v>
      </c>
      <c r="AJ249" s="62">
        <f t="shared" ca="1" si="146"/>
        <v>0.54700941758791721</v>
      </c>
      <c r="AK249" s="62">
        <f t="shared" ca="1" si="146"/>
        <v>0.17674011893594777</v>
      </c>
      <c r="AL249" s="62">
        <f t="shared" ca="1" si="146"/>
        <v>9.4208907375053053E-2</v>
      </c>
      <c r="AM249" s="62">
        <f t="shared" ca="1" si="146"/>
        <v>6.1536134063759025E-2</v>
      </c>
      <c r="AN249" s="62">
        <f t="shared" ca="1" si="146"/>
        <v>4.1375872242709236E-2</v>
      </c>
      <c r="AO249" s="62">
        <f t="shared" ca="1" si="146"/>
        <v>2.8160809601839122E-2</v>
      </c>
      <c r="AP249" s="62">
        <f t="shared" ca="1" si="146"/>
        <v>1.9023896309639615E-2</v>
      </c>
      <c r="AQ249" s="62">
        <f t="shared" ca="1" si="146"/>
        <v>1.2553630262519986E-2</v>
      </c>
      <c r="AR249" s="62">
        <f t="shared" ca="1" si="146"/>
        <v>7.8672700487407016E-3</v>
      </c>
      <c r="AS249" s="62">
        <f t="shared" ca="1" si="146"/>
        <v>4.4205069691900089E-3</v>
      </c>
      <c r="AT249" s="62">
        <f t="shared" ca="1" si="146"/>
        <v>1.8777740493496806E-3</v>
      </c>
      <c r="AU249" s="62">
        <f t="shared" ca="1" si="146"/>
        <v>-1.2504812913158674E-17</v>
      </c>
      <c r="AV249" s="62">
        <f t="shared" ca="1" si="146"/>
        <v>-1.0769269848577522E-17</v>
      </c>
      <c r="AW249" s="62">
        <f t="shared" ca="1" si="146"/>
        <v>-9.3274528419564051E-18</v>
      </c>
      <c r="AX249" s="62">
        <f t="shared" ca="1" si="146"/>
        <v>-8.1190717985225105E-18</v>
      </c>
      <c r="AY249" s="62">
        <f t="shared" ca="1" si="146"/>
        <v>-7.0984749471968861E-18</v>
      </c>
      <c r="AZ249" s="62">
        <f t="shared" ca="1" si="146"/>
        <v>-6.2305328246493149E-18</v>
      </c>
      <c r="BA249" s="62">
        <f t="shared" ca="1" si="146"/>
        <v>-5.4878431607932556E-18</v>
      </c>
      <c r="BB249" s="62">
        <f t="shared" ca="1" si="146"/>
        <v>-4.8488768816216383E-18</v>
      </c>
      <c r="BC249" s="62">
        <f t="shared" ca="1" si="146"/>
        <v>-4.2964149691093649E-18</v>
      </c>
      <c r="BD249" s="62">
        <f t="shared" ca="1" si="146"/>
        <v>-3.816600719640139E-18</v>
      </c>
      <c r="BE249" s="62">
        <f t="shared" ca="1" si="146"/>
        <v>-3.2864102560138697E-18</v>
      </c>
      <c r="BF249" s="62">
        <f t="shared" ca="1" si="146"/>
        <v>-2.8771005267873228E-18</v>
      </c>
      <c r="BG249" s="62">
        <f t="shared" ca="1" si="146"/>
        <v>-2.5308233062384307E-18</v>
      </c>
      <c r="BH249" s="62">
        <f t="shared" ca="1" si="146"/>
        <v>-2.2351759793359743E-18</v>
      </c>
      <c r="BI249" s="62">
        <f t="shared" ca="1" si="146"/>
        <v>-1.9809533085461739E-18</v>
      </c>
      <c r="BJ249" s="62">
        <f t="shared" ca="1" si="146"/>
        <v>-1.7609997470823412E-18</v>
      </c>
      <c r="BK249" s="62">
        <f t="shared" ca="1" si="146"/>
        <v>-1.5696680228873249E-18</v>
      </c>
      <c r="BL249" s="62">
        <f t="shared" ca="1" si="146"/>
        <v>-1.4024400166203986E-18</v>
      </c>
      <c r="BM249" s="62">
        <f t="shared" ca="1" si="146"/>
        <v>-1.2556625563316203E-18</v>
      </c>
      <c r="BN249" s="62">
        <f t="shared" ca="1" si="146"/>
        <v>-1.1263540977702931E-18</v>
      </c>
      <c r="BO249" s="62">
        <f t="shared" ca="1" si="146"/>
        <v>-1.0120546526942139E-18</v>
      </c>
      <c r="BP249" s="62">
        <f t="shared" ca="1" si="146"/>
        <v>-9.1072058408404361E-19</v>
      </c>
    </row>
    <row r="250" spans="1:68" x14ac:dyDescent="0.2">
      <c r="D250" s="1" t="s">
        <v>212</v>
      </c>
      <c r="I250" s="62">
        <f ca="1">IFERROR(I83/I86,0)</f>
        <v>0</v>
      </c>
      <c r="J250" s="62">
        <f t="shared" ref="J250:BP250" ca="1" si="147">IFERROR(J83/J86,0)</f>
        <v>0</v>
      </c>
      <c r="K250" s="62">
        <f t="shared" ca="1" si="147"/>
        <v>0</v>
      </c>
      <c r="L250" s="62">
        <f t="shared" ca="1" si="147"/>
        <v>-23.432269254184597</v>
      </c>
      <c r="M250" s="62">
        <f t="shared" ca="1" si="147"/>
        <v>-26.04416852460901</v>
      </c>
      <c r="N250" s="62">
        <f t="shared" ca="1" si="147"/>
        <v>-33.123229010067881</v>
      </c>
      <c r="O250" s="62">
        <f t="shared" ca="1" si="147"/>
        <v>-40.73868589585117</v>
      </c>
      <c r="P250" s="62">
        <f t="shared" ca="1" si="147"/>
        <v>-41.29827793995554</v>
      </c>
      <c r="Q250" s="62">
        <f t="shared" ca="1" si="147"/>
        <v>-47.009963453236878</v>
      </c>
      <c r="R250" s="62">
        <f t="shared" ca="1" si="147"/>
        <v>-55.692189218921889</v>
      </c>
      <c r="S250" s="62">
        <f t="shared" ca="1" si="147"/>
        <v>-63.254010540733972</v>
      </c>
      <c r="T250" s="62">
        <f t="shared" ca="1" si="147"/>
        <v>-71.145850283960968</v>
      </c>
      <c r="U250" s="62">
        <f t="shared" ca="1" si="147"/>
        <v>-77.195589516723643</v>
      </c>
      <c r="V250" s="62">
        <f t="shared" ca="1" si="147"/>
        <v>-85.885546268287371</v>
      </c>
      <c r="W250" s="62">
        <f t="shared" ca="1" si="147"/>
        <v>-92.87286556585174</v>
      </c>
      <c r="X250" s="62">
        <f t="shared" ca="1" si="147"/>
        <v>-96.645487217501</v>
      </c>
      <c r="Y250" s="62">
        <f t="shared" ca="1" si="147"/>
        <v>-102.35993829531668</v>
      </c>
      <c r="Z250" s="62">
        <f t="shared" ca="1" si="147"/>
        <v>-104.3870884017756</v>
      </c>
      <c r="AA250" s="62">
        <f t="shared" ca="1" si="147"/>
        <v>-100.25515296621441</v>
      </c>
      <c r="AB250" s="62">
        <f t="shared" ca="1" si="147"/>
        <v>-90.56729540288039</v>
      </c>
      <c r="AC250" s="62">
        <f t="shared" ca="1" si="147"/>
        <v>-82.91916046237526</v>
      </c>
      <c r="AD250" s="62">
        <f t="shared" ca="1" si="147"/>
        <v>-54.221870575497654</v>
      </c>
      <c r="AE250" s="62">
        <f t="shared" ca="1" si="147"/>
        <v>-9.0310079414357745</v>
      </c>
      <c r="AF250" s="62">
        <f t="shared" ca="1" si="147"/>
        <v>52.250640650136766</v>
      </c>
      <c r="AG250" s="62">
        <f t="shared" ca="1" si="147"/>
        <v>349.39253978151669</v>
      </c>
      <c r="AH250" s="62">
        <f t="shared" ca="1" si="147"/>
        <v>427.35451109039491</v>
      </c>
      <c r="AI250" s="62">
        <f t="shared" ca="1" si="147"/>
        <v>527.12657890732009</v>
      </c>
      <c r="AJ250" s="62">
        <f t="shared" ca="1" si="147"/>
        <v>656.51411492109617</v>
      </c>
      <c r="AK250" s="62">
        <f t="shared" ca="1" si="147"/>
        <v>814.78832385529711</v>
      </c>
      <c r="AL250" s="62">
        <f t="shared" ca="1" si="147"/>
        <v>1008.9685738628914</v>
      </c>
      <c r="AM250" s="62">
        <f t="shared" ca="1" si="147"/>
        <v>1276.6746302099893</v>
      </c>
      <c r="AN250" s="62">
        <f t="shared" ca="1" si="147"/>
        <v>1629.7299842267</v>
      </c>
      <c r="AO250" s="62">
        <f t="shared" ca="1" si="147"/>
        <v>2087.8007040724547</v>
      </c>
      <c r="AP250" s="62">
        <f t="shared" ca="1" si="147"/>
        <v>2751.245548228093</v>
      </c>
      <c r="AQ250" s="62">
        <f t="shared" ca="1" si="147"/>
        <v>3702.8926258662254</v>
      </c>
      <c r="AR250" s="62">
        <f t="shared" ca="1" si="147"/>
        <v>5191.6559118033774</v>
      </c>
      <c r="AS250" s="62">
        <f t="shared" ca="1" si="147"/>
        <v>7823.7079901670513</v>
      </c>
      <c r="AT250" s="62">
        <f t="shared" ca="1" si="147"/>
        <v>13221.637591824127</v>
      </c>
      <c r="AU250" s="62">
        <f t="shared" ca="1" si="147"/>
        <v>29702.250455666341</v>
      </c>
      <c r="AV250" s="62">
        <f t="shared" ca="1" si="147"/>
        <v>0</v>
      </c>
      <c r="AW250" s="62">
        <f t="shared" ca="1" si="147"/>
        <v>0</v>
      </c>
      <c r="AX250" s="62">
        <f t="shared" ca="1" si="147"/>
        <v>0</v>
      </c>
      <c r="AY250" s="62">
        <f t="shared" ca="1" si="147"/>
        <v>0</v>
      </c>
      <c r="AZ250" s="62">
        <f t="shared" ca="1" si="147"/>
        <v>0</v>
      </c>
      <c r="BA250" s="62">
        <f t="shared" ca="1" si="147"/>
        <v>0</v>
      </c>
      <c r="BB250" s="62">
        <f t="shared" ca="1" si="147"/>
        <v>0</v>
      </c>
      <c r="BC250" s="62">
        <f t="shared" ca="1" si="147"/>
        <v>0</v>
      </c>
      <c r="BD250" s="62">
        <f t="shared" ca="1" si="147"/>
        <v>0</v>
      </c>
      <c r="BE250" s="62">
        <f t="shared" ca="1" si="147"/>
        <v>0</v>
      </c>
      <c r="BF250" s="62">
        <f t="shared" ca="1" si="147"/>
        <v>0</v>
      </c>
      <c r="BG250" s="62">
        <f t="shared" ca="1" si="147"/>
        <v>0</v>
      </c>
      <c r="BH250" s="62">
        <f t="shared" ca="1" si="147"/>
        <v>0</v>
      </c>
      <c r="BI250" s="62">
        <f t="shared" ca="1" si="147"/>
        <v>0</v>
      </c>
      <c r="BJ250" s="62">
        <f t="shared" ca="1" si="147"/>
        <v>0</v>
      </c>
      <c r="BK250" s="62">
        <f t="shared" ca="1" si="147"/>
        <v>0</v>
      </c>
      <c r="BL250" s="62">
        <f t="shared" ca="1" si="147"/>
        <v>0</v>
      </c>
      <c r="BM250" s="62">
        <f t="shared" ca="1" si="147"/>
        <v>0</v>
      </c>
      <c r="BN250" s="62">
        <f t="shared" ca="1" si="147"/>
        <v>0</v>
      </c>
      <c r="BO250" s="62">
        <f t="shared" ca="1" si="147"/>
        <v>0</v>
      </c>
      <c r="BP250" s="62">
        <f t="shared" ca="1" si="147"/>
        <v>0</v>
      </c>
    </row>
    <row r="251" spans="1:68" x14ac:dyDescent="0.2">
      <c r="D251" s="1" t="s">
        <v>213</v>
      </c>
      <c r="I251" s="62">
        <f ca="1">I118/I126</f>
        <v>0</v>
      </c>
      <c r="J251" s="62">
        <f t="shared" ref="J251:BP251" ca="1" si="148">J118/J126</f>
        <v>0</v>
      </c>
      <c r="K251" s="62">
        <f t="shared" ca="1" si="148"/>
        <v>1</v>
      </c>
      <c r="L251" s="62">
        <f t="shared" ca="1" si="148"/>
        <v>0.97419576956200127</v>
      </c>
      <c r="M251" s="62">
        <f t="shared" ca="1" si="148"/>
        <v>0.94828402149717739</v>
      </c>
      <c r="N251" s="62">
        <f t="shared" ca="1" si="148"/>
        <v>0.9222643078154168</v>
      </c>
      <c r="O251" s="62">
        <f t="shared" ca="1" si="148"/>
        <v>0.8961361786599823</v>
      </c>
      <c r="P251" s="62">
        <f t="shared" ca="1" si="148"/>
        <v>0.8698991822997334</v>
      </c>
      <c r="Q251" s="62">
        <f t="shared" ca="1" si="148"/>
        <v>0.84355286512131689</v>
      </c>
      <c r="R251" s="62">
        <f t="shared" ca="1" si="148"/>
        <v>0.81709677162132355</v>
      </c>
      <c r="S251" s="62">
        <f t="shared" ca="1" si="148"/>
        <v>0.79053044439841358</v>
      </c>
      <c r="T251" s="62">
        <f t="shared" ca="1" si="148"/>
        <v>0.76385342414540813</v>
      </c>
      <c r="U251" s="62">
        <f t="shared" ca="1" si="148"/>
        <v>0.73706524964134845</v>
      </c>
      <c r="V251" s="62">
        <f t="shared" ca="1" si="148"/>
        <v>0.71016545774352202</v>
      </c>
      <c r="W251" s="62">
        <f t="shared" ca="1" si="148"/>
        <v>0.68315358337945453</v>
      </c>
      <c r="X251" s="62">
        <f t="shared" ca="1" si="148"/>
        <v>0.65602915953887009</v>
      </c>
      <c r="Y251" s="62">
        <f t="shared" ca="1" si="148"/>
        <v>0.62879171726561667</v>
      </c>
      <c r="Z251" s="62">
        <f t="shared" ca="1" si="148"/>
        <v>0.60144078564955794</v>
      </c>
      <c r="AA251" s="62">
        <f t="shared" ca="1" si="148"/>
        <v>0.57397589181843223</v>
      </c>
      <c r="AB251" s="62">
        <f t="shared" ca="1" si="148"/>
        <v>0.54639656092967692</v>
      </c>
      <c r="AC251" s="62">
        <f t="shared" ca="1" si="148"/>
        <v>0.5187023161622184</v>
      </c>
      <c r="AD251" s="62">
        <f t="shared" ca="1" si="148"/>
        <v>0.49089267870822878</v>
      </c>
      <c r="AE251" s="62">
        <f t="shared" ca="1" si="148"/>
        <v>0.46296716776484764</v>
      </c>
      <c r="AF251" s="62">
        <f t="shared" ca="1" si="148"/>
        <v>0.43492530052586903</v>
      </c>
      <c r="AG251" s="62">
        <f t="shared" ca="1" si="148"/>
        <v>0.40676659217339461</v>
      </c>
      <c r="AH251" s="62">
        <f t="shared" ca="1" si="148"/>
        <v>0.37849055586945163</v>
      </c>
      <c r="AI251" s="62">
        <f t="shared" ca="1" si="148"/>
        <v>0.35009670274757554</v>
      </c>
      <c r="AJ251" s="62">
        <f t="shared" ca="1" si="148"/>
        <v>0.32158454190435831</v>
      </c>
      <c r="AK251" s="62">
        <f t="shared" ca="1" si="148"/>
        <v>0.29295358039096098</v>
      </c>
      <c r="AL251" s="62">
        <f t="shared" ca="1" si="148"/>
        <v>0.26420332320459117</v>
      </c>
      <c r="AM251" s="62">
        <f t="shared" ca="1" si="148"/>
        <v>0.23533327327994483</v>
      </c>
      <c r="AN251" s="62">
        <f t="shared" ca="1" si="148"/>
        <v>0.20634293148061242</v>
      </c>
      <c r="AO251" s="62">
        <f t="shared" ca="1" si="148"/>
        <v>0.17723179659044952</v>
      </c>
      <c r="AP251" s="62">
        <f t="shared" ca="1" si="148"/>
        <v>0.14799936530491092</v>
      </c>
      <c r="AQ251" s="62">
        <f t="shared" ca="1" si="148"/>
        <v>0.11864513222234925</v>
      </c>
      <c r="AR251" s="62">
        <f t="shared" ca="1" si="148"/>
        <v>8.9168589835276882E-2</v>
      </c>
      <c r="AS251" s="62">
        <f t="shared" ca="1" si="148"/>
        <v>5.956922852159173E-2</v>
      </c>
      <c r="AT251" s="62">
        <f t="shared" ca="1" si="148"/>
        <v>2.9846536535766219E-2</v>
      </c>
      <c r="AU251" s="62">
        <f t="shared" ca="1" si="148"/>
        <v>-2.3283064365386962E-16</v>
      </c>
      <c r="AV251" s="62">
        <f t="shared" ca="1" si="148"/>
        <v>-2.3380077133576075E-16</v>
      </c>
      <c r="AW251" s="62">
        <f t="shared" ca="1" si="148"/>
        <v>-2.3477494121632645E-16</v>
      </c>
      <c r="AX251" s="62">
        <f t="shared" ca="1" si="148"/>
        <v>-2.3575317013806117E-16</v>
      </c>
      <c r="AY251" s="62">
        <f t="shared" ca="1" si="148"/>
        <v>-2.367354750136364E-16</v>
      </c>
      <c r="AZ251" s="62">
        <f t="shared" ca="1" si="148"/>
        <v>-2.377218728261932E-16</v>
      </c>
      <c r="BA251" s="62">
        <f t="shared" ca="1" si="148"/>
        <v>-2.3871238062963565E-16</v>
      </c>
      <c r="BB251" s="62">
        <f t="shared" ca="1" si="148"/>
        <v>-2.397070155489258E-16</v>
      </c>
      <c r="BC251" s="62">
        <f t="shared" ca="1" si="148"/>
        <v>-2.4070579478037968E-16</v>
      </c>
      <c r="BD251" s="62">
        <f t="shared" ca="1" si="148"/>
        <v>-2.4170873559196459E-16</v>
      </c>
      <c r="BE251" s="62">
        <f t="shared" ca="1" si="148"/>
        <v>-2.4271585532359778E-16</v>
      </c>
      <c r="BF251" s="62">
        <f t="shared" ca="1" si="148"/>
        <v>-2.4372717138744608E-16</v>
      </c>
      <c r="BG251" s="62">
        <f t="shared" ca="1" si="148"/>
        <v>-2.4474270126822714E-16</v>
      </c>
      <c r="BH251" s="62">
        <f t="shared" ca="1" si="148"/>
        <v>-2.4576246252351143E-16</v>
      </c>
      <c r="BI251" s="62">
        <f t="shared" ca="1" si="148"/>
        <v>-2.4678647278402602E-16</v>
      </c>
      <c r="BJ251" s="62">
        <f t="shared" ca="1" si="148"/>
        <v>-2.4781474975395947E-16</v>
      </c>
      <c r="BK251" s="62">
        <f t="shared" ca="1" si="148"/>
        <v>-2.4884731121126765E-16</v>
      </c>
      <c r="BL251" s="62">
        <f t="shared" ca="1" si="148"/>
        <v>-2.4988417500798127E-16</v>
      </c>
      <c r="BM251" s="62">
        <f t="shared" ca="1" si="148"/>
        <v>-2.509253590705145E-16</v>
      </c>
      <c r="BN251" s="62">
        <f t="shared" ca="1" si="148"/>
        <v>-2.5197088139997495E-16</v>
      </c>
      <c r="BO251" s="62">
        <f t="shared" ca="1" si="148"/>
        <v>-2.5302076007247485E-16</v>
      </c>
      <c r="BP251" s="62">
        <f t="shared" ca="1" si="148"/>
        <v>-2.5407501323944349E-16</v>
      </c>
    </row>
    <row r="252" spans="1:68" x14ac:dyDescent="0.2">
      <c r="D252" s="1" t="s">
        <v>214</v>
      </c>
      <c r="I252" s="62">
        <f ca="1">I118/I189</f>
        <v>0</v>
      </c>
      <c r="J252" s="62">
        <f t="shared" ref="J252:BP252" ca="1" si="149">J118/J189</f>
        <v>0</v>
      </c>
      <c r="K252" s="62">
        <f t="shared" ca="1" si="149"/>
        <v>1.2284886518360787</v>
      </c>
      <c r="L252" s="62">
        <f t="shared" ca="1" si="149"/>
        <v>1.1906936408005637</v>
      </c>
      <c r="M252" s="62">
        <f t="shared" ca="1" si="149"/>
        <v>1.1574908461887408</v>
      </c>
      <c r="N252" s="62">
        <f t="shared" ca="1" si="149"/>
        <v>1.1191283022504579</v>
      </c>
      <c r="O252" s="62">
        <f t="shared" ca="1" si="149"/>
        <v>1.0814084878389987</v>
      </c>
      <c r="P252" s="62">
        <f t="shared" ca="1" si="149"/>
        <v>1.0515447802073918</v>
      </c>
      <c r="Q252" s="62">
        <f t="shared" ca="1" si="149"/>
        <v>1.0167268691009332</v>
      </c>
      <c r="R252" s="62">
        <f t="shared" ca="1" si="149"/>
        <v>0.97991837573638907</v>
      </c>
      <c r="S252" s="62">
        <f t="shared" ca="1" si="149"/>
        <v>0.9436258798560605</v>
      </c>
      <c r="T252" s="62">
        <f t="shared" ca="1" si="149"/>
        <v>0.90780928085736468</v>
      </c>
      <c r="U252" s="62">
        <f t="shared" ca="1" si="149"/>
        <v>0.87441379676880915</v>
      </c>
      <c r="V252" s="62">
        <f t="shared" ca="1" si="149"/>
        <v>0.83926546842381544</v>
      </c>
      <c r="W252" s="62">
        <f t="shared" ca="1" si="149"/>
        <v>0.80449092752313078</v>
      </c>
      <c r="X252" s="62">
        <f t="shared" ca="1" si="149"/>
        <v>0.77179144463940952</v>
      </c>
      <c r="Y252" s="62">
        <f t="shared" ca="1" si="149"/>
        <v>0.73750629034877968</v>
      </c>
      <c r="Z252" s="62">
        <f t="shared" ca="1" si="149"/>
        <v>0.70350122601346077</v>
      </c>
      <c r="AA252" s="62">
        <f t="shared" ca="1" si="149"/>
        <v>0.67124486671226158</v>
      </c>
      <c r="AB252" s="62">
        <f t="shared" ca="1" si="149"/>
        <v>0.63899179728841182</v>
      </c>
      <c r="AC252" s="62">
        <f t="shared" ca="1" si="149"/>
        <v>0.60266920284918046</v>
      </c>
      <c r="AD252" s="62">
        <f t="shared" ca="1" si="149"/>
        <v>0.57074460517762116</v>
      </c>
      <c r="AE252" s="62">
        <f t="shared" ca="1" si="149"/>
        <v>0.53874632840819736</v>
      </c>
      <c r="AF252" s="62">
        <f t="shared" ca="1" si="149"/>
        <v>0.50440254818359032</v>
      </c>
      <c r="AG252" s="62">
        <f t="shared" ca="1" si="149"/>
        <v>0.47235277497926564</v>
      </c>
      <c r="AH252" s="62">
        <f t="shared" ca="1" si="149"/>
        <v>0.43914785307550586</v>
      </c>
      <c r="AI252" s="62">
        <f t="shared" ca="1" si="149"/>
        <v>0.40579159982332719</v>
      </c>
      <c r="AJ252" s="62">
        <f t="shared" ca="1" si="149"/>
        <v>0.37321223431840422</v>
      </c>
      <c r="AK252" s="62">
        <f t="shared" ca="1" si="149"/>
        <v>0.33968914529824445</v>
      </c>
      <c r="AL252" s="62">
        <f t="shared" ca="1" si="149"/>
        <v>0.30540794513583414</v>
      </c>
      <c r="AM252" s="62">
        <f t="shared" ca="1" si="149"/>
        <v>0.27242902559901</v>
      </c>
      <c r="AN252" s="62">
        <f t="shared" ca="1" si="149"/>
        <v>0.23926129846046471</v>
      </c>
      <c r="AO252" s="62">
        <f t="shared" ca="1" si="149"/>
        <v>0.20493173627725902</v>
      </c>
      <c r="AP252" s="62">
        <f t="shared" ca="1" si="149"/>
        <v>0.17142783626051458</v>
      </c>
      <c r="AQ252" s="62">
        <f t="shared" ca="1" si="149"/>
        <v>0.13734724934094067</v>
      </c>
      <c r="AR252" s="62">
        <f t="shared" ca="1" si="149"/>
        <v>0.10316458523171256</v>
      </c>
      <c r="AS252" s="62">
        <f t="shared" ca="1" si="149"/>
        <v>6.9347181049582915E-2</v>
      </c>
      <c r="AT252" s="62">
        <f t="shared" ca="1" si="149"/>
        <v>3.4952516680901206E-2</v>
      </c>
      <c r="AU252" s="62">
        <f t="shared" ca="1" si="149"/>
        <v>-2.7421412541431307E-16</v>
      </c>
      <c r="AV252" s="62">
        <f t="shared" ca="1" si="149"/>
        <v>-2.7687844232005615E-16</v>
      </c>
      <c r="AW252" s="62">
        <f t="shared" ca="1" si="149"/>
        <v>-2.7949397763848385E-16</v>
      </c>
      <c r="AX252" s="62">
        <f t="shared" ca="1" si="149"/>
        <v>-2.8205763127185778E-16</v>
      </c>
      <c r="AY252" s="62">
        <f t="shared" ca="1" si="149"/>
        <v>-2.8459484072967708E-16</v>
      </c>
      <c r="AZ252" s="62">
        <f t="shared" ca="1" si="149"/>
        <v>-2.8710371114274538E-16</v>
      </c>
      <c r="BA252" s="62">
        <f t="shared" ca="1" si="149"/>
        <v>-2.8949454952558138E-16</v>
      </c>
      <c r="BB252" s="62">
        <f t="shared" ca="1" si="149"/>
        <v>-2.9185107412612721E-16</v>
      </c>
      <c r="BC252" s="62">
        <f t="shared" ca="1" si="149"/>
        <v>-2.9417145711014932E-16</v>
      </c>
      <c r="BD252" s="62">
        <f t="shared" ca="1" si="149"/>
        <v>-2.9639329931571382E-16</v>
      </c>
      <c r="BE252" s="62">
        <f t="shared" ca="1" si="149"/>
        <v>-2.9857409163333403E-16</v>
      </c>
      <c r="BF252" s="62">
        <f t="shared" ca="1" si="149"/>
        <v>-3.0068120249299404E-16</v>
      </c>
      <c r="BG252" s="62">
        <f t="shared" ca="1" si="149"/>
        <v>-3.0271206093781955E-16</v>
      </c>
      <c r="BH252" s="62">
        <f t="shared" ca="1" si="149"/>
        <v>-3.0469568656701489E-16</v>
      </c>
      <c r="BI252" s="62">
        <f t="shared" ca="1" si="149"/>
        <v>-3.0659878594143416E-16</v>
      </c>
      <c r="BJ252" s="62">
        <f t="shared" ca="1" si="149"/>
        <v>-3.0838711988463278E-16</v>
      </c>
      <c r="BK252" s="62">
        <f t="shared" ca="1" si="149"/>
        <v>-3.1012231119900426E-16</v>
      </c>
      <c r="BL252" s="62">
        <f t="shared" ca="1" si="149"/>
        <v>-3.1180306749462154E-16</v>
      </c>
      <c r="BM252" s="62">
        <f t="shared" ca="1" si="149"/>
        <v>-3.1336292109961224E-16</v>
      </c>
      <c r="BN252" s="62">
        <f t="shared" ca="1" si="149"/>
        <v>-3.1486520637297716E-16</v>
      </c>
      <c r="BO252" s="62">
        <f t="shared" ca="1" si="149"/>
        <v>-3.162759500905936E-16</v>
      </c>
      <c r="BP252" s="62">
        <f t="shared" ca="1" si="149"/>
        <v>-3.1759376654930439E-16</v>
      </c>
    </row>
    <row r="253" spans="1:68" x14ac:dyDescent="0.2">
      <c r="D253" s="1" t="s">
        <v>215</v>
      </c>
      <c r="I253" s="62">
        <f ca="1">IFERROR((I92-I85+I86+I81)/(-I181),0)</f>
        <v>0</v>
      </c>
      <c r="J253" s="62">
        <f t="shared" ref="J253:BP253" ca="1" si="150">IFERROR((J92-J85+J86+J81)/(-J181),0)</f>
        <v>0</v>
      </c>
      <c r="K253" s="62">
        <f t="shared" ca="1" si="150"/>
        <v>0</v>
      </c>
      <c r="L253" s="62">
        <f t="shared" ca="1" si="150"/>
        <v>-3.2298399231076491</v>
      </c>
      <c r="M253" s="62">
        <f t="shared" ca="1" si="150"/>
        <v>-3.4967428447007021</v>
      </c>
      <c r="N253" s="62">
        <f t="shared" ca="1" si="150"/>
        <v>-4.3278375312009576</v>
      </c>
      <c r="O253" s="62">
        <f t="shared" ca="1" si="150"/>
        <v>-5.1761124397302174</v>
      </c>
      <c r="P253" s="62">
        <f t="shared" ca="1" si="150"/>
        <v>-5.0978445122868692</v>
      </c>
      <c r="Q253" s="62">
        <f t="shared" ca="1" si="150"/>
        <v>-5.6323986369337655</v>
      </c>
      <c r="R253" s="62">
        <f t="shared" ca="1" si="150"/>
        <v>-6.4700623627027634</v>
      </c>
      <c r="S253" s="62">
        <f t="shared" ca="1" si="150"/>
        <v>-7.1158822036105933</v>
      </c>
      <c r="T253" s="62">
        <f t="shared" ca="1" si="150"/>
        <v>-7.7412617710359868</v>
      </c>
      <c r="U253" s="62">
        <f t="shared" ca="1" si="150"/>
        <v>-8.1142698470914212</v>
      </c>
      <c r="V253" s="62">
        <f t="shared" ca="1" si="150"/>
        <v>-8.7089138202462681</v>
      </c>
      <c r="W253" s="62">
        <f t="shared" ca="1" si="150"/>
        <v>-9.0692202411370051</v>
      </c>
      <c r="X253" s="62">
        <f t="shared" ca="1" si="150"/>
        <v>-9.0731956532259606</v>
      </c>
      <c r="Y253" s="62">
        <f t="shared" ca="1" si="150"/>
        <v>-9.221582714107134</v>
      </c>
      <c r="Z253" s="62">
        <f t="shared" ca="1" si="150"/>
        <v>-9.0028794397125527</v>
      </c>
      <c r="AA253" s="62">
        <f t="shared" ca="1" si="150"/>
        <v>-8.2548773610612756</v>
      </c>
      <c r="AB253" s="62">
        <f t="shared" ca="1" si="150"/>
        <v>-7.0934822512727589</v>
      </c>
      <c r="AC253" s="62">
        <f t="shared" ca="1" si="150"/>
        <v>-6.151342062140043</v>
      </c>
      <c r="AD253" s="62">
        <f t="shared" ca="1" si="150"/>
        <v>-3.7571189902466413</v>
      </c>
      <c r="AE253" s="62">
        <f t="shared" ca="1" si="150"/>
        <v>-0.45784192863540507</v>
      </c>
      <c r="AF253" s="62">
        <f t="shared" ca="1" si="150"/>
        <v>3.5326398905218359</v>
      </c>
      <c r="AG253" s="62">
        <f t="shared" ca="1" si="150"/>
        <v>21.296459621178371</v>
      </c>
      <c r="AH253" s="62">
        <f t="shared" ca="1" si="150"/>
        <v>24.342983932672972</v>
      </c>
      <c r="AI253" s="62">
        <f t="shared" ca="1" si="150"/>
        <v>27.907896686542507</v>
      </c>
      <c r="AJ253" s="62">
        <f t="shared" ca="1" si="150"/>
        <v>32.123387230322919</v>
      </c>
      <c r="AK253" s="62">
        <f t="shared" ca="1" si="150"/>
        <v>34.366609727077424</v>
      </c>
      <c r="AL253" s="62">
        <f t="shared" ca="1" si="150"/>
        <v>28.933741710139749</v>
      </c>
      <c r="AM253" s="62">
        <f t="shared" ca="1" si="150"/>
        <v>32.962519537754119</v>
      </c>
      <c r="AN253" s="62">
        <f t="shared" ca="1" si="150"/>
        <v>37.438395928768493</v>
      </c>
      <c r="AO253" s="62">
        <f t="shared" ca="1" si="150"/>
        <v>42.011923360778667</v>
      </c>
      <c r="AP253" s="62">
        <f t="shared" ca="1" si="150"/>
        <v>47.501169336401865</v>
      </c>
      <c r="AQ253" s="62">
        <f t="shared" ca="1" si="150"/>
        <v>53.33892482134646</v>
      </c>
      <c r="AR253" s="62">
        <f t="shared" ca="1" si="150"/>
        <v>59.90385608502806</v>
      </c>
      <c r="AS253" s="62">
        <f t="shared" ca="1" si="150"/>
        <v>67.794215390875635</v>
      </c>
      <c r="AT253" s="62">
        <f t="shared" ca="1" si="150"/>
        <v>76.482671503242585</v>
      </c>
      <c r="AU253" s="62">
        <f t="shared" ca="1" si="150"/>
        <v>86.030098534584667</v>
      </c>
      <c r="AV253" s="62">
        <f t="shared" ca="1" si="150"/>
        <v>0</v>
      </c>
      <c r="AW253" s="62">
        <f t="shared" ca="1" si="150"/>
        <v>0</v>
      </c>
      <c r="AX253" s="62">
        <f t="shared" ca="1" si="150"/>
        <v>0</v>
      </c>
      <c r="AY253" s="62">
        <f t="shared" ca="1" si="150"/>
        <v>0</v>
      </c>
      <c r="AZ253" s="62">
        <f t="shared" ca="1" si="150"/>
        <v>0</v>
      </c>
      <c r="BA253" s="62">
        <f t="shared" ca="1" si="150"/>
        <v>0</v>
      </c>
      <c r="BB253" s="62">
        <f t="shared" ca="1" si="150"/>
        <v>0</v>
      </c>
      <c r="BC253" s="62">
        <f t="shared" ca="1" si="150"/>
        <v>0</v>
      </c>
      <c r="BD253" s="62">
        <f t="shared" ca="1" si="150"/>
        <v>0</v>
      </c>
      <c r="BE253" s="62">
        <f t="shared" ca="1" si="150"/>
        <v>0</v>
      </c>
      <c r="BF253" s="62">
        <f t="shared" ca="1" si="150"/>
        <v>0</v>
      </c>
      <c r="BG253" s="62">
        <f t="shared" ca="1" si="150"/>
        <v>0</v>
      </c>
      <c r="BH253" s="62">
        <f t="shared" ca="1" si="150"/>
        <v>0</v>
      </c>
      <c r="BI253" s="62">
        <f t="shared" ca="1" si="150"/>
        <v>0</v>
      </c>
      <c r="BJ253" s="62">
        <f t="shared" ca="1" si="150"/>
        <v>0</v>
      </c>
      <c r="BK253" s="62">
        <f t="shared" ca="1" si="150"/>
        <v>0</v>
      </c>
      <c r="BL253" s="62">
        <f t="shared" ca="1" si="150"/>
        <v>0</v>
      </c>
      <c r="BM253" s="62">
        <f t="shared" ca="1" si="150"/>
        <v>0</v>
      </c>
      <c r="BN253" s="62">
        <f t="shared" ca="1" si="150"/>
        <v>0</v>
      </c>
      <c r="BO253" s="62">
        <f t="shared" ca="1" si="150"/>
        <v>0</v>
      </c>
      <c r="BP253" s="62">
        <f t="shared" ca="1" si="150"/>
        <v>0</v>
      </c>
    </row>
    <row r="255" spans="1:68" s="30" customFormat="1" ht="15.75" thickBot="1" x14ac:dyDescent="0.3">
      <c r="A255" s="68"/>
      <c r="B255" s="68"/>
      <c r="C255" s="68" t="s">
        <v>216</v>
      </c>
      <c r="D255" s="68"/>
      <c r="E255" s="68"/>
      <c r="F255" s="68"/>
      <c r="G255" s="68"/>
      <c r="H255" s="68"/>
      <c r="I255" s="68"/>
      <c r="J255" s="68"/>
      <c r="K255" s="68"/>
      <c r="L255" s="68"/>
      <c r="M255" s="68"/>
      <c r="N255" s="68"/>
      <c r="O255" s="68"/>
      <c r="P255" s="68"/>
      <c r="Q255" s="68"/>
      <c r="R255" s="68"/>
      <c r="S255" s="68"/>
      <c r="T255" s="68"/>
      <c r="U255" s="68"/>
      <c r="V255" s="68"/>
      <c r="W255" s="68"/>
      <c r="X255" s="68"/>
      <c r="Y255" s="68"/>
      <c r="Z255" s="68"/>
      <c r="AA255" s="68"/>
      <c r="AB255" s="68"/>
      <c r="AC255" s="68"/>
      <c r="AD255" s="68"/>
      <c r="AE255" s="68"/>
      <c r="AF255" s="68"/>
      <c r="AG255" s="68"/>
      <c r="AH255" s="68"/>
      <c r="AI255" s="68"/>
      <c r="AJ255" s="68"/>
      <c r="AK255" s="68"/>
      <c r="AL255" s="68"/>
      <c r="AM255" s="68"/>
      <c r="AN255" s="68"/>
      <c r="AO255" s="68"/>
      <c r="AP255" s="68"/>
      <c r="AQ255" s="68"/>
      <c r="AR255" s="68"/>
      <c r="AS255" s="68"/>
      <c r="AT255" s="68"/>
      <c r="AU255" s="68"/>
      <c r="AV255" s="68"/>
      <c r="AW255" s="68"/>
      <c r="AX255" s="68"/>
      <c r="AY255" s="68"/>
      <c r="AZ255" s="68"/>
      <c r="BA255" s="68"/>
      <c r="BB255" s="68"/>
      <c r="BC255" s="68"/>
      <c r="BD255" s="68"/>
      <c r="BE255" s="68"/>
      <c r="BF255" s="68"/>
      <c r="BG255" s="68"/>
      <c r="BH255" s="68"/>
      <c r="BI255" s="68"/>
      <c r="BJ255" s="68"/>
      <c r="BK255" s="68"/>
      <c r="BL255" s="68"/>
      <c r="BM255" s="68"/>
      <c r="BN255" s="68"/>
      <c r="BO255" s="68"/>
      <c r="BP255" s="68"/>
    </row>
    <row r="257" spans="1:68" x14ac:dyDescent="0.2">
      <c r="C257" s="1" t="s">
        <v>217</v>
      </c>
    </row>
    <row r="258" spans="1:68" x14ac:dyDescent="0.2">
      <c r="D258" s="1" t="s">
        <v>180</v>
      </c>
      <c r="I258" s="55">
        <f ca="1">I210</f>
        <v>-19913.466</v>
      </c>
      <c r="J258" s="55">
        <f t="shared" ref="J258:BP258" ca="1" si="151">J210</f>
        <v>-32995.646000000001</v>
      </c>
      <c r="K258" s="55">
        <f t="shared" ca="1" si="151"/>
        <v>-72222.357333333333</v>
      </c>
      <c r="L258" s="55">
        <f t="shared" ca="1" si="151"/>
        <v>-94931.083333333343</v>
      </c>
      <c r="M258" s="55">
        <f t="shared" ca="1" si="151"/>
        <v>-104620.09266666666</v>
      </c>
      <c r="N258" s="55">
        <f t="shared" ca="1" si="151"/>
        <v>-128268.45333333334</v>
      </c>
      <c r="O258" s="55">
        <f t="shared" ca="1" si="151"/>
        <v>-153784.73066666667</v>
      </c>
      <c r="P258" s="55">
        <f t="shared" ca="1" si="151"/>
        <v>-154530.60133333332</v>
      </c>
      <c r="Q258" s="55">
        <f t="shared" ca="1" si="151"/>
        <v>-169621.25599999999</v>
      </c>
      <c r="R258" s="55">
        <f t="shared" ca="1" si="151"/>
        <v>-194359.82</v>
      </c>
      <c r="S258" s="55">
        <f t="shared" ca="1" si="151"/>
        <v>-215001.26666666666</v>
      </c>
      <c r="T258" s="55">
        <f t="shared" ca="1" si="151"/>
        <v>-235035.31200000001</v>
      </c>
      <c r="U258" s="55">
        <f t="shared" ca="1" si="151"/>
        <v>-247900.51333333334</v>
      </c>
      <c r="V258" s="55">
        <f t="shared" ca="1" si="151"/>
        <v>-267704.14266666671</v>
      </c>
      <c r="W258" s="55">
        <f t="shared" ca="1" si="151"/>
        <v>-281688.89599999995</v>
      </c>
      <c r="X258" s="55">
        <f t="shared" ca="1" si="151"/>
        <v>-286274.44400000002</v>
      </c>
      <c r="Y258" s="55">
        <f t="shared" ca="1" si="151"/>
        <v>-294755.76133333333</v>
      </c>
      <c r="Z258" s="55">
        <f t="shared" ca="1" si="151"/>
        <v>-294767.97066666663</v>
      </c>
      <c r="AA258" s="55">
        <f t="shared" ca="1" si="151"/>
        <v>-281313.75066666666</v>
      </c>
      <c r="AB258" s="55">
        <f t="shared" ca="1" si="151"/>
        <v>-257330.83733333336</v>
      </c>
      <c r="AC258" s="55">
        <f t="shared" ca="1" si="151"/>
        <v>-240792.48666666666</v>
      </c>
      <c r="AD258" s="55">
        <f t="shared" ca="1" si="151"/>
        <v>-189165.2840000001</v>
      </c>
      <c r="AE258" s="55">
        <f t="shared" ca="1" si="151"/>
        <v>-114075.23199999999</v>
      </c>
      <c r="AF258" s="55">
        <f t="shared" ca="1" si="151"/>
        <v>-23584.063999999998</v>
      </c>
      <c r="AG258" s="55">
        <f t="shared" ca="1" si="151"/>
        <v>416585.41600000008</v>
      </c>
      <c r="AH258" s="55">
        <f t="shared" ca="1" si="151"/>
        <v>579933.81199999992</v>
      </c>
      <c r="AI258" s="55">
        <f t="shared" ca="1" si="151"/>
        <v>716828.80666666664</v>
      </c>
      <c r="AJ258" s="55">
        <f t="shared" ca="1" si="151"/>
        <v>858654.20666666655</v>
      </c>
      <c r="AK258" s="55">
        <f t="shared" ca="1" si="151"/>
        <v>983029.52</v>
      </c>
      <c r="AL258" s="55">
        <f t="shared" ca="1" si="151"/>
        <v>1112473.3866666665</v>
      </c>
      <c r="AM258" s="55">
        <f t="shared" ca="1" si="151"/>
        <v>1272083.8933333331</v>
      </c>
      <c r="AN258" s="55">
        <f t="shared" ca="1" si="151"/>
        <v>1450811.273333333</v>
      </c>
      <c r="AO258" s="55">
        <f t="shared" ca="1" si="151"/>
        <v>1634323.24</v>
      </c>
      <c r="AP258" s="55">
        <f t="shared" ca="1" si="151"/>
        <v>1852758.2266666663</v>
      </c>
      <c r="AQ258" s="55">
        <f t="shared" ca="1" si="151"/>
        <v>2086868.42</v>
      </c>
      <c r="AR258" s="55">
        <f t="shared" ca="1" si="151"/>
        <v>2349546.1866666665</v>
      </c>
      <c r="AS258" s="55">
        <f t="shared" ca="1" si="151"/>
        <v>2664930.9533333331</v>
      </c>
      <c r="AT258" s="55">
        <f t="shared" ca="1" si="151"/>
        <v>3013801.4</v>
      </c>
      <c r="AU258" s="55">
        <f t="shared" ca="1" si="151"/>
        <v>3398281.6999999997</v>
      </c>
      <c r="AV258" s="55">
        <f t="shared" ca="1" si="151"/>
        <v>3821097.379999999</v>
      </c>
      <c r="AW258" s="55">
        <f t="shared" ca="1" si="151"/>
        <v>4285766.0799999991</v>
      </c>
      <c r="AX258" s="55">
        <f t="shared" ca="1" si="151"/>
        <v>4796436.9799999995</v>
      </c>
      <c r="AY258" s="55">
        <f t="shared" ca="1" si="151"/>
        <v>5357668.5799999991</v>
      </c>
      <c r="AZ258" s="55">
        <f t="shared" ca="1" si="151"/>
        <v>5974455.7999999998</v>
      </c>
      <c r="BA258" s="55">
        <f t="shared" ca="1" si="151"/>
        <v>6652306.4399999995</v>
      </c>
      <c r="BB258" s="55">
        <f t="shared" ca="1" si="151"/>
        <v>7397265.3999999985</v>
      </c>
      <c r="BC258" s="55">
        <f t="shared" ca="1" si="151"/>
        <v>8215978.959999999</v>
      </c>
      <c r="BD258" s="55">
        <f t="shared" ca="1" si="151"/>
        <v>9115737.1399999987</v>
      </c>
      <c r="BE258" s="55">
        <f t="shared" ca="1" si="151"/>
        <v>11449419.736</v>
      </c>
      <c r="BF258" s="55">
        <f t="shared" ca="1" si="151"/>
        <v>13140805.947999999</v>
      </c>
      <c r="BG258" s="55">
        <f t="shared" ca="1" si="151"/>
        <v>14790166.428000001</v>
      </c>
      <c r="BH258" s="55">
        <f t="shared" ca="1" si="151"/>
        <v>16611564.848000001</v>
      </c>
      <c r="BI258" s="55">
        <f t="shared" ca="1" si="151"/>
        <v>18342561.056000002</v>
      </c>
      <c r="BJ258" s="55">
        <f t="shared" ca="1" si="151"/>
        <v>20244930.056000002</v>
      </c>
      <c r="BK258" s="55">
        <f t="shared" ca="1" si="151"/>
        <v>22335632.864</v>
      </c>
      <c r="BL258" s="55">
        <f t="shared" ca="1" si="151"/>
        <v>24633322.592000004</v>
      </c>
      <c r="BM258" s="55">
        <f t="shared" ca="1" si="151"/>
        <v>27158475.535999998</v>
      </c>
      <c r="BN258" s="55">
        <f t="shared" ca="1" si="151"/>
        <v>29933611.279999997</v>
      </c>
      <c r="BO258" s="55">
        <f t="shared" ca="1" si="151"/>
        <v>32983490.192000002</v>
      </c>
      <c r="BP258" s="55">
        <f t="shared" ca="1" si="151"/>
        <v>36335313.223999999</v>
      </c>
    </row>
    <row r="259" spans="1:68" x14ac:dyDescent="0.2">
      <c r="D259" s="1" t="s">
        <v>183</v>
      </c>
      <c r="I259" s="55">
        <f>I215</f>
        <v>-3400</v>
      </c>
      <c r="J259" s="55">
        <f t="shared" ref="J259:BP259" si="152">J215</f>
        <v>-2000.0000000000005</v>
      </c>
      <c r="K259" s="55">
        <f t="shared" si="152"/>
        <v>-9600</v>
      </c>
      <c r="L259" s="55">
        <f t="shared" si="152"/>
        <v>-5000</v>
      </c>
      <c r="M259" s="55">
        <f t="shared" si="152"/>
        <v>-2000</v>
      </c>
      <c r="N259" s="55">
        <f t="shared" si="152"/>
        <v>-6000</v>
      </c>
      <c r="O259" s="55">
        <f t="shared" si="152"/>
        <v>-6000</v>
      </c>
      <c r="P259" s="55">
        <f t="shared" si="152"/>
        <v>0</v>
      </c>
      <c r="Q259" s="55">
        <f t="shared" si="152"/>
        <v>-4000</v>
      </c>
      <c r="R259" s="55">
        <f t="shared" si="152"/>
        <v>-6000</v>
      </c>
      <c r="S259" s="55">
        <f t="shared" si="152"/>
        <v>-6000</v>
      </c>
      <c r="T259" s="55">
        <f t="shared" si="152"/>
        <v>-6000</v>
      </c>
      <c r="U259" s="55">
        <f t="shared" si="152"/>
        <v>-4000</v>
      </c>
      <c r="V259" s="55">
        <f t="shared" si="152"/>
        <v>-6000</v>
      </c>
      <c r="W259" s="55">
        <f t="shared" si="152"/>
        <v>-6000</v>
      </c>
      <c r="X259" s="55">
        <f t="shared" si="152"/>
        <v>-4000</v>
      </c>
      <c r="Y259" s="55">
        <f t="shared" si="152"/>
        <v>-6000</v>
      </c>
      <c r="Z259" s="55">
        <f t="shared" si="152"/>
        <v>-6000</v>
      </c>
      <c r="AA259" s="55">
        <f t="shared" si="152"/>
        <v>-4000</v>
      </c>
      <c r="AB259" s="55">
        <f t="shared" si="152"/>
        <v>-4000</v>
      </c>
      <c r="AC259" s="55">
        <f t="shared" si="152"/>
        <v>-10000</v>
      </c>
      <c r="AD259" s="55">
        <f t="shared" si="152"/>
        <v>-4000</v>
      </c>
      <c r="AE259" s="55">
        <f t="shared" si="152"/>
        <v>-4000</v>
      </c>
      <c r="AF259" s="55">
        <f t="shared" si="152"/>
        <v>-8000</v>
      </c>
      <c r="AG259" s="55">
        <f t="shared" si="152"/>
        <v>-4000</v>
      </c>
      <c r="AH259" s="55">
        <f t="shared" si="152"/>
        <v>-6000</v>
      </c>
      <c r="AI259" s="55">
        <f t="shared" si="152"/>
        <v>-6000</v>
      </c>
      <c r="AJ259" s="55">
        <f t="shared" si="152"/>
        <v>-4000</v>
      </c>
      <c r="AK259" s="55">
        <f t="shared" si="152"/>
        <v>-6000</v>
      </c>
      <c r="AL259" s="55">
        <f t="shared" si="152"/>
        <v>-8000</v>
      </c>
      <c r="AM259" s="55">
        <f t="shared" si="152"/>
        <v>-4000</v>
      </c>
      <c r="AN259" s="55">
        <f t="shared" si="152"/>
        <v>-4000</v>
      </c>
      <c r="AO259" s="55">
        <f t="shared" si="152"/>
        <v>-8000</v>
      </c>
      <c r="AP259" s="55">
        <f t="shared" si="152"/>
        <v>-4000</v>
      </c>
      <c r="AQ259" s="55">
        <f t="shared" si="152"/>
        <v>-6000</v>
      </c>
      <c r="AR259" s="55">
        <f t="shared" si="152"/>
        <v>-6000</v>
      </c>
      <c r="AS259" s="55">
        <f t="shared" si="152"/>
        <v>0</v>
      </c>
      <c r="AT259" s="55">
        <f t="shared" si="152"/>
        <v>0</v>
      </c>
      <c r="AU259" s="55">
        <f t="shared" si="152"/>
        <v>0</v>
      </c>
      <c r="AV259" s="55">
        <f t="shared" si="152"/>
        <v>0</v>
      </c>
      <c r="AW259" s="55">
        <f t="shared" si="152"/>
        <v>0</v>
      </c>
      <c r="AX259" s="55">
        <f t="shared" si="152"/>
        <v>0</v>
      </c>
      <c r="AY259" s="55">
        <f t="shared" si="152"/>
        <v>0</v>
      </c>
      <c r="AZ259" s="55">
        <f t="shared" si="152"/>
        <v>0</v>
      </c>
      <c r="BA259" s="55">
        <f t="shared" si="152"/>
        <v>0</v>
      </c>
      <c r="BB259" s="55">
        <f t="shared" si="152"/>
        <v>0</v>
      </c>
      <c r="BC259" s="55">
        <f t="shared" si="152"/>
        <v>0</v>
      </c>
      <c r="BD259" s="55">
        <f t="shared" si="152"/>
        <v>0</v>
      </c>
      <c r="BE259" s="55">
        <f t="shared" si="152"/>
        <v>0</v>
      </c>
      <c r="BF259" s="55">
        <f t="shared" si="152"/>
        <v>0</v>
      </c>
      <c r="BG259" s="55">
        <f t="shared" si="152"/>
        <v>0</v>
      </c>
      <c r="BH259" s="55">
        <f t="shared" si="152"/>
        <v>0</v>
      </c>
      <c r="BI259" s="55">
        <f t="shared" si="152"/>
        <v>0</v>
      </c>
      <c r="BJ259" s="55">
        <f t="shared" si="152"/>
        <v>0</v>
      </c>
      <c r="BK259" s="55">
        <f t="shared" si="152"/>
        <v>0</v>
      </c>
      <c r="BL259" s="55">
        <f t="shared" si="152"/>
        <v>0</v>
      </c>
      <c r="BM259" s="55">
        <f t="shared" si="152"/>
        <v>0</v>
      </c>
      <c r="BN259" s="55">
        <f t="shared" si="152"/>
        <v>0</v>
      </c>
      <c r="BO259" s="55">
        <f t="shared" si="152"/>
        <v>0</v>
      </c>
      <c r="BP259" s="55">
        <f t="shared" si="152"/>
        <v>0</v>
      </c>
    </row>
    <row r="260" spans="1:68" x14ac:dyDescent="0.2">
      <c r="C260" s="1" t="s">
        <v>218</v>
      </c>
      <c r="I260" s="55">
        <f ca="1">SUBTOTAL(9,I258:I259)</f>
        <v>-23313.466</v>
      </c>
      <c r="J260" s="55">
        <f t="shared" ref="J260:BP260" ca="1" si="153">SUBTOTAL(9,J258:J259)</f>
        <v>-34995.646000000001</v>
      </c>
      <c r="K260" s="55">
        <f t="shared" ca="1" si="153"/>
        <v>-81822.357333333333</v>
      </c>
      <c r="L260" s="55">
        <f t="shared" ca="1" si="153"/>
        <v>-99931.083333333343</v>
      </c>
      <c r="M260" s="55">
        <f t="shared" ca="1" si="153"/>
        <v>-106620.09266666666</v>
      </c>
      <c r="N260" s="55">
        <f t="shared" ca="1" si="153"/>
        <v>-134268.45333333334</v>
      </c>
      <c r="O260" s="55">
        <f t="shared" ca="1" si="153"/>
        <v>-159784.73066666667</v>
      </c>
      <c r="P260" s="55">
        <f t="shared" ca="1" si="153"/>
        <v>-154530.60133333332</v>
      </c>
      <c r="Q260" s="55">
        <f t="shared" ca="1" si="153"/>
        <v>-173621.25599999999</v>
      </c>
      <c r="R260" s="55">
        <f t="shared" ca="1" si="153"/>
        <v>-200359.82</v>
      </c>
      <c r="S260" s="55">
        <f t="shared" ca="1" si="153"/>
        <v>-221001.26666666666</v>
      </c>
      <c r="T260" s="55">
        <f t="shared" ca="1" si="153"/>
        <v>-241035.31200000001</v>
      </c>
      <c r="U260" s="55">
        <f t="shared" ca="1" si="153"/>
        <v>-251900.51333333334</v>
      </c>
      <c r="V260" s="55">
        <f t="shared" ca="1" si="153"/>
        <v>-273704.14266666671</v>
      </c>
      <c r="W260" s="55">
        <f t="shared" ca="1" si="153"/>
        <v>-287688.89599999995</v>
      </c>
      <c r="X260" s="55">
        <f t="shared" ca="1" si="153"/>
        <v>-290274.44400000002</v>
      </c>
      <c r="Y260" s="55">
        <f t="shared" ca="1" si="153"/>
        <v>-300755.76133333333</v>
      </c>
      <c r="Z260" s="55">
        <f t="shared" ca="1" si="153"/>
        <v>-300767.97066666663</v>
      </c>
      <c r="AA260" s="55">
        <f t="shared" ca="1" si="153"/>
        <v>-285313.75066666666</v>
      </c>
      <c r="AB260" s="55">
        <f t="shared" ca="1" si="153"/>
        <v>-261330.83733333336</v>
      </c>
      <c r="AC260" s="55">
        <f t="shared" ca="1" si="153"/>
        <v>-250792.48666666666</v>
      </c>
      <c r="AD260" s="55">
        <f t="shared" ca="1" si="153"/>
        <v>-193165.2840000001</v>
      </c>
      <c r="AE260" s="55">
        <f t="shared" ca="1" si="153"/>
        <v>-118075.23199999999</v>
      </c>
      <c r="AF260" s="55">
        <f t="shared" ca="1" si="153"/>
        <v>-31584.063999999998</v>
      </c>
      <c r="AG260" s="55">
        <f t="shared" ca="1" si="153"/>
        <v>412585.41600000008</v>
      </c>
      <c r="AH260" s="55">
        <f t="shared" ca="1" si="153"/>
        <v>573933.81199999992</v>
      </c>
      <c r="AI260" s="55">
        <f t="shared" ca="1" si="153"/>
        <v>710828.80666666664</v>
      </c>
      <c r="AJ260" s="55">
        <f t="shared" ca="1" si="153"/>
        <v>854654.20666666655</v>
      </c>
      <c r="AK260" s="55">
        <f t="shared" ca="1" si="153"/>
        <v>977029.52</v>
      </c>
      <c r="AL260" s="55">
        <f t="shared" ca="1" si="153"/>
        <v>1104473.3866666665</v>
      </c>
      <c r="AM260" s="55">
        <f t="shared" ca="1" si="153"/>
        <v>1268083.8933333331</v>
      </c>
      <c r="AN260" s="55">
        <f t="shared" ca="1" si="153"/>
        <v>1446811.273333333</v>
      </c>
      <c r="AO260" s="55">
        <f t="shared" ca="1" si="153"/>
        <v>1626323.24</v>
      </c>
      <c r="AP260" s="55">
        <f t="shared" ca="1" si="153"/>
        <v>1848758.2266666663</v>
      </c>
      <c r="AQ260" s="55">
        <f t="shared" ca="1" si="153"/>
        <v>2080868.42</v>
      </c>
      <c r="AR260" s="55">
        <f t="shared" ca="1" si="153"/>
        <v>2343546.1866666665</v>
      </c>
      <c r="AS260" s="55">
        <f t="shared" ca="1" si="153"/>
        <v>2664930.9533333331</v>
      </c>
      <c r="AT260" s="55">
        <f t="shared" ca="1" si="153"/>
        <v>3013801.4</v>
      </c>
      <c r="AU260" s="55">
        <f t="shared" ca="1" si="153"/>
        <v>3398281.6999999997</v>
      </c>
      <c r="AV260" s="55">
        <f t="shared" ca="1" si="153"/>
        <v>3821097.379999999</v>
      </c>
      <c r="AW260" s="55">
        <f t="shared" ca="1" si="153"/>
        <v>4285766.0799999991</v>
      </c>
      <c r="AX260" s="55">
        <f t="shared" ca="1" si="153"/>
        <v>4796436.9799999995</v>
      </c>
      <c r="AY260" s="55">
        <f t="shared" ca="1" si="153"/>
        <v>5357668.5799999991</v>
      </c>
      <c r="AZ260" s="55">
        <f t="shared" ca="1" si="153"/>
        <v>5974455.7999999998</v>
      </c>
      <c r="BA260" s="55">
        <f t="shared" ca="1" si="153"/>
        <v>6652306.4399999995</v>
      </c>
      <c r="BB260" s="55">
        <f t="shared" ca="1" si="153"/>
        <v>7397265.3999999985</v>
      </c>
      <c r="BC260" s="55">
        <f t="shared" ca="1" si="153"/>
        <v>8215978.959999999</v>
      </c>
      <c r="BD260" s="55">
        <f t="shared" ca="1" si="153"/>
        <v>9115737.1399999987</v>
      </c>
      <c r="BE260" s="55">
        <f t="shared" ca="1" si="153"/>
        <v>11449419.736</v>
      </c>
      <c r="BF260" s="55">
        <f t="shared" ca="1" si="153"/>
        <v>13140805.947999999</v>
      </c>
      <c r="BG260" s="55">
        <f t="shared" ca="1" si="153"/>
        <v>14790166.428000001</v>
      </c>
      <c r="BH260" s="55">
        <f t="shared" ca="1" si="153"/>
        <v>16611564.848000001</v>
      </c>
      <c r="BI260" s="55">
        <f t="shared" ca="1" si="153"/>
        <v>18342561.056000002</v>
      </c>
      <c r="BJ260" s="55">
        <f t="shared" ca="1" si="153"/>
        <v>20244930.056000002</v>
      </c>
      <c r="BK260" s="55">
        <f t="shared" ca="1" si="153"/>
        <v>22335632.864</v>
      </c>
      <c r="BL260" s="55">
        <f t="shared" ca="1" si="153"/>
        <v>24633322.592000004</v>
      </c>
      <c r="BM260" s="55">
        <f t="shared" ca="1" si="153"/>
        <v>27158475.535999998</v>
      </c>
      <c r="BN260" s="55">
        <f t="shared" ca="1" si="153"/>
        <v>29933611.279999997</v>
      </c>
      <c r="BO260" s="55">
        <f t="shared" ca="1" si="153"/>
        <v>32983490.192000002</v>
      </c>
      <c r="BP260" s="55">
        <f t="shared" ca="1" si="153"/>
        <v>36335313.223999999</v>
      </c>
    </row>
    <row r="261" spans="1:68" x14ac:dyDescent="0.2">
      <c r="I261" s="55"/>
      <c r="J261" s="55"/>
      <c r="K261" s="55"/>
      <c r="L261" s="55"/>
      <c r="M261" s="55"/>
      <c r="N261" s="55"/>
      <c r="O261" s="55"/>
      <c r="P261" s="55"/>
      <c r="Q261" s="55"/>
      <c r="R261" s="55"/>
      <c r="S261" s="55"/>
      <c r="T261" s="55"/>
      <c r="U261" s="55"/>
      <c r="V261" s="55"/>
      <c r="W261" s="55"/>
      <c r="X261" s="55"/>
      <c r="Y261" s="55"/>
      <c r="Z261" s="55"/>
      <c r="AA261" s="55"/>
      <c r="AB261" s="55"/>
      <c r="AC261" s="55"/>
      <c r="AD261" s="55"/>
      <c r="AE261" s="55"/>
      <c r="AF261" s="55"/>
      <c r="AG261" s="55"/>
      <c r="AH261" s="55"/>
      <c r="AI261" s="55"/>
      <c r="AJ261" s="55"/>
      <c r="AK261" s="55"/>
      <c r="AL261" s="55"/>
      <c r="AM261" s="55"/>
      <c r="AN261" s="55"/>
      <c r="AO261" s="55"/>
      <c r="AP261" s="55"/>
      <c r="AQ261" s="55"/>
      <c r="AR261" s="55"/>
      <c r="AS261" s="55"/>
      <c r="AT261" s="55"/>
      <c r="AU261" s="55"/>
      <c r="AV261" s="55"/>
      <c r="AW261" s="55"/>
      <c r="AX261" s="55"/>
      <c r="AY261" s="55"/>
      <c r="AZ261" s="55"/>
      <c r="BA261" s="55"/>
      <c r="BB261" s="55"/>
      <c r="BC261" s="55"/>
      <c r="BD261" s="55"/>
      <c r="BE261" s="55"/>
      <c r="BF261" s="55"/>
      <c r="BG261" s="55"/>
      <c r="BH261" s="55"/>
      <c r="BI261" s="55"/>
      <c r="BJ261" s="55"/>
      <c r="BK261" s="55"/>
      <c r="BL261" s="55"/>
      <c r="BM261" s="55"/>
      <c r="BN261" s="55"/>
      <c r="BO261" s="55"/>
      <c r="BP261" s="55"/>
    </row>
    <row r="262" spans="1:68" x14ac:dyDescent="0.2">
      <c r="C262" s="1" t="s">
        <v>219</v>
      </c>
      <c r="I262" s="55">
        <f t="shared" ref="I262:AN262" ca="1" si="154">-I260*AssmCoTaxRate</f>
        <v>6994.0397999999996</v>
      </c>
      <c r="J262" s="55">
        <f t="shared" ca="1" si="154"/>
        <v>10498.693799999999</v>
      </c>
      <c r="K262" s="55">
        <f t="shared" ca="1" si="154"/>
        <v>24546.707200000001</v>
      </c>
      <c r="L262" s="55">
        <f t="shared" ca="1" si="154"/>
        <v>29979.325000000001</v>
      </c>
      <c r="M262" s="55">
        <f t="shared" ca="1" si="154"/>
        <v>31986.027799999996</v>
      </c>
      <c r="N262" s="55">
        <f t="shared" ca="1" si="154"/>
        <v>40280.536</v>
      </c>
      <c r="O262" s="55">
        <f t="shared" ca="1" si="154"/>
        <v>47935.419199999997</v>
      </c>
      <c r="P262" s="55">
        <f t="shared" ca="1" si="154"/>
        <v>46359.180399999997</v>
      </c>
      <c r="Q262" s="55">
        <f t="shared" ca="1" si="154"/>
        <v>52086.376799999998</v>
      </c>
      <c r="R262" s="55">
        <f t="shared" ca="1" si="154"/>
        <v>60107.945999999996</v>
      </c>
      <c r="S262" s="55">
        <f t="shared" ca="1" si="154"/>
        <v>66300.37999999999</v>
      </c>
      <c r="T262" s="55">
        <f t="shared" ca="1" si="154"/>
        <v>72310.593599999993</v>
      </c>
      <c r="U262" s="55">
        <f t="shared" ca="1" si="154"/>
        <v>75570.153999999995</v>
      </c>
      <c r="V262" s="55">
        <f t="shared" ca="1" si="154"/>
        <v>82111.242800000007</v>
      </c>
      <c r="W262" s="55">
        <f t="shared" ca="1" si="154"/>
        <v>86306.668799999985</v>
      </c>
      <c r="X262" s="55">
        <f t="shared" ca="1" si="154"/>
        <v>87082.333200000008</v>
      </c>
      <c r="Y262" s="55">
        <f t="shared" ca="1" si="154"/>
        <v>90226.728399999993</v>
      </c>
      <c r="Z262" s="55">
        <f t="shared" ca="1" si="154"/>
        <v>90230.391199999984</v>
      </c>
      <c r="AA262" s="55">
        <f t="shared" ca="1" si="154"/>
        <v>85594.125199999995</v>
      </c>
      <c r="AB262" s="55">
        <f t="shared" ca="1" si="154"/>
        <v>78399.251199999999</v>
      </c>
      <c r="AC262" s="55">
        <f t="shared" ca="1" si="154"/>
        <v>75237.745999999999</v>
      </c>
      <c r="AD262" s="55">
        <f t="shared" ca="1" si="154"/>
        <v>57949.58520000003</v>
      </c>
      <c r="AE262" s="55">
        <f t="shared" ca="1" si="154"/>
        <v>35422.569599999995</v>
      </c>
      <c r="AF262" s="55">
        <f t="shared" ca="1" si="154"/>
        <v>9475.2191999999995</v>
      </c>
      <c r="AG262" s="55">
        <f t="shared" ca="1" si="154"/>
        <v>-123775.62480000002</v>
      </c>
      <c r="AH262" s="55">
        <f t="shared" ca="1" si="154"/>
        <v>-172180.14359999998</v>
      </c>
      <c r="AI262" s="55">
        <f t="shared" ca="1" si="154"/>
        <v>-213248.64199999999</v>
      </c>
      <c r="AJ262" s="55">
        <f t="shared" ca="1" si="154"/>
        <v>-256396.26199999996</v>
      </c>
      <c r="AK262" s="55">
        <f t="shared" ca="1" si="154"/>
        <v>-293108.85599999997</v>
      </c>
      <c r="AL262" s="55">
        <f t="shared" ca="1" si="154"/>
        <v>-331342.01599999995</v>
      </c>
      <c r="AM262" s="55">
        <f t="shared" ca="1" si="154"/>
        <v>-380425.16799999989</v>
      </c>
      <c r="AN262" s="55">
        <f t="shared" ca="1" si="154"/>
        <v>-434043.38199999987</v>
      </c>
      <c r="AO262" s="55">
        <f t="shared" ref="AO262:BP262" ca="1" si="155">-AO260*AssmCoTaxRate</f>
        <v>-487896.97199999995</v>
      </c>
      <c r="AP262" s="55">
        <f t="shared" ca="1" si="155"/>
        <v>-554627.46799999988</v>
      </c>
      <c r="AQ262" s="55">
        <f t="shared" ca="1" si="155"/>
        <v>-624260.52599999995</v>
      </c>
      <c r="AR262" s="55">
        <f t="shared" ca="1" si="155"/>
        <v>-703063.85599999991</v>
      </c>
      <c r="AS262" s="55">
        <f t="shared" ca="1" si="155"/>
        <v>-799479.28599999996</v>
      </c>
      <c r="AT262" s="55">
        <f t="shared" ca="1" si="155"/>
        <v>-904140.41999999993</v>
      </c>
      <c r="AU262" s="55">
        <f t="shared" ca="1" si="155"/>
        <v>-1019484.5099999999</v>
      </c>
      <c r="AV262" s="55">
        <f t="shared" ca="1" si="155"/>
        <v>-1146329.2139999997</v>
      </c>
      <c r="AW262" s="55">
        <f t="shared" ca="1" si="155"/>
        <v>-1285729.8239999998</v>
      </c>
      <c r="AX262" s="55">
        <f t="shared" ca="1" si="155"/>
        <v>-1438931.0939999998</v>
      </c>
      <c r="AY262" s="55">
        <f t="shared" ca="1" si="155"/>
        <v>-1607300.5739999998</v>
      </c>
      <c r="AZ262" s="55">
        <f t="shared" ca="1" si="155"/>
        <v>-1792336.74</v>
      </c>
      <c r="BA262" s="55">
        <f t="shared" ca="1" si="155"/>
        <v>-1995691.9319999998</v>
      </c>
      <c r="BB262" s="55">
        <f t="shared" ca="1" si="155"/>
        <v>-2219179.6199999996</v>
      </c>
      <c r="BC262" s="55">
        <f t="shared" ca="1" si="155"/>
        <v>-2464793.6879999996</v>
      </c>
      <c r="BD262" s="55">
        <f t="shared" ca="1" si="155"/>
        <v>-2734721.1419999995</v>
      </c>
      <c r="BE262" s="55">
        <f t="shared" ca="1" si="155"/>
        <v>-3434825.9208</v>
      </c>
      <c r="BF262" s="55">
        <f t="shared" ca="1" si="155"/>
        <v>-3942241.7843999993</v>
      </c>
      <c r="BG262" s="55">
        <f t="shared" ca="1" si="155"/>
        <v>-4437049.9284000006</v>
      </c>
      <c r="BH262" s="55">
        <f t="shared" ca="1" si="155"/>
        <v>-4983469.4544000002</v>
      </c>
      <c r="BI262" s="55">
        <f t="shared" ca="1" si="155"/>
        <v>-5502768.3168000001</v>
      </c>
      <c r="BJ262" s="55">
        <f t="shared" ca="1" si="155"/>
        <v>-6073479.0168000003</v>
      </c>
      <c r="BK262" s="55">
        <f t="shared" ca="1" si="155"/>
        <v>-6700689.8591999998</v>
      </c>
      <c r="BL262" s="55">
        <f t="shared" ca="1" si="155"/>
        <v>-7389996.7776000006</v>
      </c>
      <c r="BM262" s="55">
        <f t="shared" ca="1" si="155"/>
        <v>-8147542.6607999988</v>
      </c>
      <c r="BN262" s="55">
        <f t="shared" ca="1" si="155"/>
        <v>-8980083.3839999996</v>
      </c>
      <c r="BO262" s="55">
        <f t="shared" ca="1" si="155"/>
        <v>-9895047.0576000009</v>
      </c>
      <c r="BP262" s="55">
        <f t="shared" ca="1" si="155"/>
        <v>-10900593.9672</v>
      </c>
    </row>
    <row r="263" spans="1:68" x14ac:dyDescent="0.2">
      <c r="A263" s="4"/>
      <c r="B263" s="4"/>
      <c r="C263" s="4" t="s">
        <v>217</v>
      </c>
      <c r="D263" s="4"/>
      <c r="E263" s="4"/>
      <c r="F263" s="4"/>
      <c r="G263" s="4"/>
      <c r="H263" s="4"/>
      <c r="I263" s="59">
        <f ca="1">SUBTOTAL(9,I258:I262)</f>
        <v>-16319.426200000002</v>
      </c>
      <c r="J263" s="59">
        <f t="shared" ref="J263:BP263" ca="1" si="156">SUBTOTAL(9,J258:J262)</f>
        <v>-24496.9522</v>
      </c>
      <c r="K263" s="59">
        <f t="shared" ca="1" si="156"/>
        <v>-57275.650133333329</v>
      </c>
      <c r="L263" s="59">
        <f t="shared" ca="1" si="156"/>
        <v>-69951.758333333346</v>
      </c>
      <c r="M263" s="59">
        <f t="shared" ca="1" si="156"/>
        <v>-74634.064866666668</v>
      </c>
      <c r="N263" s="59">
        <f t="shared" ca="1" si="156"/>
        <v>-93987.917333333346</v>
      </c>
      <c r="O263" s="59">
        <f t="shared" ca="1" si="156"/>
        <v>-111849.31146666667</v>
      </c>
      <c r="P263" s="59">
        <f t="shared" ca="1" si="156"/>
        <v>-108171.42093333333</v>
      </c>
      <c r="Q263" s="59">
        <f t="shared" ca="1" si="156"/>
        <v>-121534.8792</v>
      </c>
      <c r="R263" s="59">
        <f t="shared" ca="1" si="156"/>
        <v>-140251.87400000001</v>
      </c>
      <c r="S263" s="59">
        <f t="shared" ca="1" si="156"/>
        <v>-154700.88666666666</v>
      </c>
      <c r="T263" s="59">
        <f t="shared" ca="1" si="156"/>
        <v>-168724.71840000001</v>
      </c>
      <c r="U263" s="59">
        <f t="shared" ca="1" si="156"/>
        <v>-176330.35933333333</v>
      </c>
      <c r="V263" s="59">
        <f t="shared" ca="1" si="156"/>
        <v>-191592.8998666667</v>
      </c>
      <c r="W263" s="59">
        <f t="shared" ca="1" si="156"/>
        <v>-201382.22719999996</v>
      </c>
      <c r="X263" s="59">
        <f t="shared" ca="1" si="156"/>
        <v>-203192.11080000002</v>
      </c>
      <c r="Y263" s="59">
        <f t="shared" ca="1" si="156"/>
        <v>-210529.03293333334</v>
      </c>
      <c r="Z263" s="59">
        <f t="shared" ca="1" si="156"/>
        <v>-210537.57946666665</v>
      </c>
      <c r="AA263" s="59">
        <f t="shared" ca="1" si="156"/>
        <v>-199719.62546666665</v>
      </c>
      <c r="AB263" s="59">
        <f t="shared" ca="1" si="156"/>
        <v>-182931.58613333336</v>
      </c>
      <c r="AC263" s="59">
        <f t="shared" ca="1" si="156"/>
        <v>-175554.74066666665</v>
      </c>
      <c r="AD263" s="59">
        <f t="shared" ca="1" si="156"/>
        <v>-135215.69880000007</v>
      </c>
      <c r="AE263" s="59">
        <f t="shared" ca="1" si="156"/>
        <v>-82652.662400000001</v>
      </c>
      <c r="AF263" s="59">
        <f t="shared" ca="1" si="156"/>
        <v>-22108.844799999999</v>
      </c>
      <c r="AG263" s="59">
        <f t="shared" ca="1" si="156"/>
        <v>288809.79120000009</v>
      </c>
      <c r="AH263" s="59">
        <f t="shared" ca="1" si="156"/>
        <v>401753.66839999997</v>
      </c>
      <c r="AI263" s="59">
        <f t="shared" ca="1" si="156"/>
        <v>497580.16466666665</v>
      </c>
      <c r="AJ263" s="59">
        <f t="shared" ca="1" si="156"/>
        <v>598257.94466666656</v>
      </c>
      <c r="AK263" s="59">
        <f t="shared" ca="1" si="156"/>
        <v>683920.66400000011</v>
      </c>
      <c r="AL263" s="59">
        <f t="shared" ca="1" si="156"/>
        <v>773131.37066666654</v>
      </c>
      <c r="AM263" s="59">
        <f t="shared" ca="1" si="156"/>
        <v>887658.72533333325</v>
      </c>
      <c r="AN263" s="59">
        <f t="shared" ca="1" si="156"/>
        <v>1012767.8913333331</v>
      </c>
      <c r="AO263" s="59">
        <f t="shared" ca="1" si="156"/>
        <v>1138426.2680000002</v>
      </c>
      <c r="AP263" s="59">
        <f t="shared" ca="1" si="156"/>
        <v>1294130.7586666665</v>
      </c>
      <c r="AQ263" s="59">
        <f t="shared" ca="1" si="156"/>
        <v>1456607.8939999999</v>
      </c>
      <c r="AR263" s="59">
        <f t="shared" ca="1" si="156"/>
        <v>1640482.3306666666</v>
      </c>
      <c r="AS263" s="59">
        <f t="shared" ca="1" si="156"/>
        <v>1865451.6673333333</v>
      </c>
      <c r="AT263" s="59">
        <f t="shared" ca="1" si="156"/>
        <v>2109660.98</v>
      </c>
      <c r="AU263" s="59">
        <f t="shared" ca="1" si="156"/>
        <v>2378797.19</v>
      </c>
      <c r="AV263" s="59">
        <f t="shared" ca="1" si="156"/>
        <v>2674768.1659999993</v>
      </c>
      <c r="AW263" s="59">
        <f t="shared" ca="1" si="156"/>
        <v>3000036.2559999991</v>
      </c>
      <c r="AX263" s="59">
        <f t="shared" ca="1" si="156"/>
        <v>3357505.8859999999</v>
      </c>
      <c r="AY263" s="59">
        <f t="shared" ca="1" si="156"/>
        <v>3750368.0059999991</v>
      </c>
      <c r="AZ263" s="59">
        <f t="shared" ca="1" si="156"/>
        <v>4182119.0599999996</v>
      </c>
      <c r="BA263" s="59">
        <f t="shared" ca="1" si="156"/>
        <v>4656614.5079999994</v>
      </c>
      <c r="BB263" s="59">
        <f t="shared" ca="1" si="156"/>
        <v>5178085.7799999993</v>
      </c>
      <c r="BC263" s="59">
        <f t="shared" ca="1" si="156"/>
        <v>5751185.2719999999</v>
      </c>
      <c r="BD263" s="59">
        <f t="shared" ca="1" si="156"/>
        <v>6381015.9979999997</v>
      </c>
      <c r="BE263" s="59">
        <f t="shared" ca="1" si="156"/>
        <v>8014593.8151999991</v>
      </c>
      <c r="BF263" s="59">
        <f t="shared" ca="1" si="156"/>
        <v>9198564.1635999996</v>
      </c>
      <c r="BG263" s="59">
        <f t="shared" ca="1" si="156"/>
        <v>10353116.499600001</v>
      </c>
      <c r="BH263" s="59">
        <f t="shared" ca="1" si="156"/>
        <v>11628095.393600002</v>
      </c>
      <c r="BI263" s="59">
        <f t="shared" ca="1" si="156"/>
        <v>12839792.739200002</v>
      </c>
      <c r="BJ263" s="59">
        <f t="shared" ca="1" si="156"/>
        <v>14171451.0392</v>
      </c>
      <c r="BK263" s="59">
        <f t="shared" ca="1" si="156"/>
        <v>15634943.004799999</v>
      </c>
      <c r="BL263" s="59">
        <f t="shared" ca="1" si="156"/>
        <v>17243325.814400002</v>
      </c>
      <c r="BM263" s="59">
        <f t="shared" ca="1" si="156"/>
        <v>19010932.8752</v>
      </c>
      <c r="BN263" s="59">
        <f t="shared" ca="1" si="156"/>
        <v>20953527.895999998</v>
      </c>
      <c r="BO263" s="59">
        <f t="shared" ca="1" si="156"/>
        <v>23088443.134400003</v>
      </c>
      <c r="BP263" s="59">
        <f t="shared" ca="1" si="156"/>
        <v>25434719.2568</v>
      </c>
    </row>
    <row r="265" spans="1:68" x14ac:dyDescent="0.2">
      <c r="C265" s="1" t="s">
        <v>220</v>
      </c>
      <c r="I265" s="55">
        <f ca="1">I263+H265</f>
        <v>-16319.426200000002</v>
      </c>
      <c r="J265" s="55">
        <f t="shared" ref="J265:BP265" ca="1" si="157">J263+I265</f>
        <v>-40816.378400000001</v>
      </c>
      <c r="K265" s="55">
        <f t="shared" ca="1" si="157"/>
        <v>-98092.02853333333</v>
      </c>
      <c r="L265" s="55">
        <f t="shared" ca="1" si="157"/>
        <v>-168043.78686666669</v>
      </c>
      <c r="M265" s="55">
        <f t="shared" ca="1" si="157"/>
        <v>-242677.85173333337</v>
      </c>
      <c r="N265" s="55">
        <f t="shared" ca="1" si="157"/>
        <v>-336665.76906666672</v>
      </c>
      <c r="O265" s="55">
        <f t="shared" ca="1" si="157"/>
        <v>-448515.08053333336</v>
      </c>
      <c r="P265" s="55">
        <f t="shared" ca="1" si="157"/>
        <v>-556686.5014666667</v>
      </c>
      <c r="Q265" s="55">
        <f t="shared" ca="1" si="157"/>
        <v>-678221.38066666666</v>
      </c>
      <c r="R265" s="55">
        <f t="shared" ca="1" si="157"/>
        <v>-818473.25466666673</v>
      </c>
      <c r="S265" s="55">
        <f t="shared" ca="1" si="157"/>
        <v>-973174.14133333345</v>
      </c>
      <c r="T265" s="55">
        <f t="shared" ca="1" si="157"/>
        <v>-1141898.8597333333</v>
      </c>
      <c r="U265" s="55">
        <f t="shared" ca="1" si="157"/>
        <v>-1318229.2190666667</v>
      </c>
      <c r="V265" s="55">
        <f t="shared" ca="1" si="157"/>
        <v>-1509822.1189333333</v>
      </c>
      <c r="W265" s="55">
        <f t="shared" ca="1" si="157"/>
        <v>-1711204.3461333332</v>
      </c>
      <c r="X265" s="55">
        <f t="shared" ca="1" si="157"/>
        <v>-1914396.4569333331</v>
      </c>
      <c r="Y265" s="55">
        <f t="shared" ca="1" si="157"/>
        <v>-2124925.4898666665</v>
      </c>
      <c r="Z265" s="55">
        <f t="shared" ca="1" si="157"/>
        <v>-2335463.0693333331</v>
      </c>
      <c r="AA265" s="55">
        <f t="shared" ca="1" si="157"/>
        <v>-2535182.6947999997</v>
      </c>
      <c r="AB265" s="55">
        <f t="shared" ca="1" si="157"/>
        <v>-2718114.2809333331</v>
      </c>
      <c r="AC265" s="55">
        <f t="shared" ca="1" si="157"/>
        <v>-2893669.0215999996</v>
      </c>
      <c r="AD265" s="55">
        <f t="shared" ca="1" si="157"/>
        <v>-3028884.7203999995</v>
      </c>
      <c r="AE265" s="55">
        <f t="shared" ca="1" si="157"/>
        <v>-3111537.3827999993</v>
      </c>
      <c r="AF265" s="55">
        <f t="shared" ca="1" si="157"/>
        <v>-3133646.2275999994</v>
      </c>
      <c r="AG265" s="55">
        <f t="shared" ca="1" si="157"/>
        <v>-2844836.4363999991</v>
      </c>
      <c r="AH265" s="55">
        <f t="shared" ca="1" si="157"/>
        <v>-2443082.7679999992</v>
      </c>
      <c r="AI265" s="55">
        <f t="shared" ca="1" si="157"/>
        <v>-1945502.6033333326</v>
      </c>
      <c r="AJ265" s="55">
        <f t="shared" ca="1" si="157"/>
        <v>-1347244.6586666661</v>
      </c>
      <c r="AK265" s="55">
        <f t="shared" ca="1" si="157"/>
        <v>-663323.99466666603</v>
      </c>
      <c r="AL265" s="55">
        <f t="shared" ca="1" si="157"/>
        <v>109807.37600000051</v>
      </c>
      <c r="AM265" s="55">
        <f t="shared" ca="1" si="157"/>
        <v>997466.10133333376</v>
      </c>
      <c r="AN265" s="55">
        <f t="shared" ca="1" si="157"/>
        <v>2010233.9926666669</v>
      </c>
      <c r="AO265" s="55">
        <f t="shared" ca="1" si="157"/>
        <v>3148660.260666667</v>
      </c>
      <c r="AP265" s="55">
        <f t="shared" ca="1" si="157"/>
        <v>4442791.0193333337</v>
      </c>
      <c r="AQ265" s="55">
        <f t="shared" ca="1" si="157"/>
        <v>5899398.913333334</v>
      </c>
      <c r="AR265" s="55">
        <f t="shared" ca="1" si="157"/>
        <v>7539881.2440000009</v>
      </c>
      <c r="AS265" s="55">
        <f t="shared" ca="1" si="157"/>
        <v>9405332.9113333337</v>
      </c>
      <c r="AT265" s="55">
        <f t="shared" ca="1" si="157"/>
        <v>11514993.891333334</v>
      </c>
      <c r="AU265" s="55">
        <f t="shared" ca="1" si="157"/>
        <v>13893791.081333334</v>
      </c>
      <c r="AV265" s="55">
        <f t="shared" ca="1" si="157"/>
        <v>16568559.247333333</v>
      </c>
      <c r="AW265" s="55">
        <f t="shared" ca="1" si="157"/>
        <v>19568595.50333333</v>
      </c>
      <c r="AX265" s="55">
        <f t="shared" ca="1" si="157"/>
        <v>22926101.38933333</v>
      </c>
      <c r="AY265" s="55">
        <f t="shared" ca="1" si="157"/>
        <v>26676469.395333327</v>
      </c>
      <c r="AZ265" s="55">
        <f t="shared" ca="1" si="157"/>
        <v>30858588.455333326</v>
      </c>
      <c r="BA265" s="55">
        <f t="shared" ca="1" si="157"/>
        <v>35515202.963333324</v>
      </c>
      <c r="BB265" s="55">
        <f t="shared" ca="1" si="157"/>
        <v>40693288.743333325</v>
      </c>
      <c r="BC265" s="55">
        <f t="shared" ca="1" si="157"/>
        <v>46444474.015333325</v>
      </c>
      <c r="BD265" s="55">
        <f t="shared" ca="1" si="157"/>
        <v>52825490.013333321</v>
      </c>
      <c r="BE265" s="55">
        <f t="shared" ca="1" si="157"/>
        <v>60840083.828533322</v>
      </c>
      <c r="BF265" s="55">
        <f t="shared" ca="1" si="157"/>
        <v>70038647.992133319</v>
      </c>
      <c r="BG265" s="55">
        <f t="shared" ca="1" si="157"/>
        <v>80391764.491733313</v>
      </c>
      <c r="BH265" s="55">
        <f t="shared" ca="1" si="157"/>
        <v>92019859.885333315</v>
      </c>
      <c r="BI265" s="55">
        <f t="shared" ca="1" si="157"/>
        <v>104859652.62453331</v>
      </c>
      <c r="BJ265" s="55">
        <f t="shared" ca="1" si="157"/>
        <v>119031103.6637333</v>
      </c>
      <c r="BK265" s="55">
        <f t="shared" ca="1" si="157"/>
        <v>134666046.6685333</v>
      </c>
      <c r="BL265" s="55">
        <f t="shared" ca="1" si="157"/>
        <v>151909372.48293328</v>
      </c>
      <c r="BM265" s="55">
        <f t="shared" ca="1" si="157"/>
        <v>170920305.35813329</v>
      </c>
      <c r="BN265" s="55">
        <f t="shared" ca="1" si="157"/>
        <v>191873833.25413328</v>
      </c>
      <c r="BO265" s="55">
        <f t="shared" ca="1" si="157"/>
        <v>214962276.38853329</v>
      </c>
      <c r="BP265" s="55">
        <f t="shared" ca="1" si="157"/>
        <v>240396995.64533329</v>
      </c>
    </row>
    <row r="266" spans="1:68" x14ac:dyDescent="0.2">
      <c r="I266" s="55"/>
      <c r="J266" s="55"/>
      <c r="K266" s="55"/>
      <c r="L266" s="55"/>
      <c r="M266" s="55"/>
      <c r="N266" s="55"/>
      <c r="O266" s="55"/>
      <c r="P266" s="55"/>
      <c r="Q266" s="55"/>
      <c r="R266" s="55"/>
      <c r="S266" s="55"/>
      <c r="T266" s="55"/>
      <c r="U266" s="55"/>
      <c r="V266" s="55"/>
      <c r="W266" s="55"/>
      <c r="X266" s="55"/>
      <c r="Y266" s="55"/>
      <c r="Z266" s="55"/>
      <c r="AA266" s="55"/>
      <c r="AB266" s="55"/>
      <c r="AC266" s="55"/>
      <c r="AD266" s="55"/>
      <c r="AE266" s="55"/>
      <c r="AF266" s="55"/>
      <c r="AG266" s="55"/>
      <c r="AH266" s="55"/>
      <c r="AI266" s="55"/>
      <c r="AJ266" s="55"/>
      <c r="AK266" s="55"/>
      <c r="AL266" s="55"/>
      <c r="AM266" s="55"/>
      <c r="AN266" s="55"/>
      <c r="AO266" s="55"/>
      <c r="AP266" s="55"/>
      <c r="AQ266" s="55"/>
      <c r="AR266" s="55"/>
      <c r="AS266" s="55"/>
      <c r="AT266" s="55"/>
      <c r="AU266" s="55"/>
      <c r="AV266" s="55"/>
      <c r="AW266" s="55"/>
      <c r="AX266" s="55"/>
      <c r="AY266" s="55"/>
      <c r="AZ266" s="55"/>
      <c r="BA266" s="55"/>
      <c r="BB266" s="55"/>
      <c r="BC266" s="55"/>
      <c r="BD266" s="55"/>
      <c r="BE266" s="55"/>
      <c r="BF266" s="55"/>
      <c r="BG266" s="55"/>
      <c r="BH266" s="55"/>
      <c r="BI266" s="55"/>
      <c r="BJ266" s="55"/>
      <c r="BK266" s="55"/>
      <c r="BL266" s="55"/>
      <c r="BM266" s="55"/>
      <c r="BN266" s="55"/>
      <c r="BO266" s="55"/>
      <c r="BP266" s="55"/>
    </row>
    <row r="267" spans="1:68" x14ac:dyDescent="0.2">
      <c r="C267" s="1" t="s">
        <v>221</v>
      </c>
      <c r="I267" s="55">
        <f ca="1">-I219</f>
        <v>-1000000</v>
      </c>
      <c r="J267" s="55">
        <f t="shared" ref="J267:BP267" ca="1" si="158">-J219</f>
        <v>0</v>
      </c>
      <c r="K267" s="55">
        <f t="shared" ca="1" si="158"/>
        <v>0</v>
      </c>
      <c r="L267" s="55">
        <f t="shared" ca="1" si="158"/>
        <v>0</v>
      </c>
      <c r="M267" s="55">
        <f t="shared" ca="1" si="158"/>
        <v>0</v>
      </c>
      <c r="N267" s="55">
        <f t="shared" ca="1" si="158"/>
        <v>0</v>
      </c>
      <c r="O267" s="55">
        <f t="shared" ca="1" si="158"/>
        <v>0</v>
      </c>
      <c r="P267" s="55">
        <f t="shared" ca="1" si="158"/>
        <v>0</v>
      </c>
      <c r="Q267" s="55">
        <f t="shared" ca="1" si="158"/>
        <v>0</v>
      </c>
      <c r="R267" s="55">
        <f t="shared" ca="1" si="158"/>
        <v>0</v>
      </c>
      <c r="S267" s="55">
        <f t="shared" ca="1" si="158"/>
        <v>0</v>
      </c>
      <c r="T267" s="55">
        <f t="shared" ca="1" si="158"/>
        <v>0</v>
      </c>
      <c r="U267" s="55">
        <f t="shared" ca="1" si="158"/>
        <v>0</v>
      </c>
      <c r="V267" s="55">
        <f t="shared" ca="1" si="158"/>
        <v>0</v>
      </c>
      <c r="W267" s="55">
        <f t="shared" ca="1" si="158"/>
        <v>0</v>
      </c>
      <c r="X267" s="55">
        <f t="shared" ca="1" si="158"/>
        <v>0</v>
      </c>
      <c r="Y267" s="55">
        <f t="shared" ca="1" si="158"/>
        <v>0</v>
      </c>
      <c r="Z267" s="55">
        <f t="shared" ca="1" si="158"/>
        <v>0</v>
      </c>
      <c r="AA267" s="55">
        <f t="shared" ca="1" si="158"/>
        <v>0</v>
      </c>
      <c r="AB267" s="55">
        <f t="shared" ca="1" si="158"/>
        <v>0</v>
      </c>
      <c r="AC267" s="55">
        <f t="shared" ca="1" si="158"/>
        <v>0</v>
      </c>
      <c r="AD267" s="55">
        <f t="shared" ca="1" si="158"/>
        <v>0</v>
      </c>
      <c r="AE267" s="55">
        <f t="shared" ca="1" si="158"/>
        <v>0</v>
      </c>
      <c r="AF267" s="55">
        <f t="shared" ca="1" si="158"/>
        <v>0</v>
      </c>
      <c r="AG267" s="55">
        <f t="shared" ca="1" si="158"/>
        <v>0</v>
      </c>
      <c r="AH267" s="55">
        <f t="shared" ca="1" si="158"/>
        <v>0</v>
      </c>
      <c r="AI267" s="55">
        <f t="shared" ca="1" si="158"/>
        <v>0</v>
      </c>
      <c r="AJ267" s="55">
        <f t="shared" ca="1" si="158"/>
        <v>0</v>
      </c>
      <c r="AK267" s="55">
        <f t="shared" ca="1" si="158"/>
        <v>0</v>
      </c>
      <c r="AL267" s="55">
        <f t="shared" ca="1" si="158"/>
        <v>0</v>
      </c>
      <c r="AM267" s="55">
        <f t="shared" ca="1" si="158"/>
        <v>0</v>
      </c>
      <c r="AN267" s="55">
        <f t="shared" ca="1" si="158"/>
        <v>0</v>
      </c>
      <c r="AO267" s="55">
        <f t="shared" ca="1" si="158"/>
        <v>0</v>
      </c>
      <c r="AP267" s="55">
        <f t="shared" ca="1" si="158"/>
        <v>0</v>
      </c>
      <c r="AQ267" s="55">
        <f t="shared" ca="1" si="158"/>
        <v>0</v>
      </c>
      <c r="AR267" s="55">
        <f t="shared" ca="1" si="158"/>
        <v>0</v>
      </c>
      <c r="AS267" s="55">
        <f t="shared" ca="1" si="158"/>
        <v>0</v>
      </c>
      <c r="AT267" s="55">
        <f t="shared" ca="1" si="158"/>
        <v>0</v>
      </c>
      <c r="AU267" s="55">
        <f t="shared" ca="1" si="158"/>
        <v>0</v>
      </c>
      <c r="AV267" s="55">
        <f t="shared" ca="1" si="158"/>
        <v>0</v>
      </c>
      <c r="AW267" s="55">
        <f t="shared" ca="1" si="158"/>
        <v>0</v>
      </c>
      <c r="AX267" s="55">
        <f t="shared" ca="1" si="158"/>
        <v>0</v>
      </c>
      <c r="AY267" s="55">
        <f t="shared" ca="1" si="158"/>
        <v>0</v>
      </c>
      <c r="AZ267" s="55">
        <f t="shared" ca="1" si="158"/>
        <v>0</v>
      </c>
      <c r="BA267" s="55">
        <f t="shared" ca="1" si="158"/>
        <v>0</v>
      </c>
      <c r="BB267" s="55">
        <f t="shared" ca="1" si="158"/>
        <v>0</v>
      </c>
      <c r="BC267" s="55">
        <f t="shared" ca="1" si="158"/>
        <v>0</v>
      </c>
      <c r="BD267" s="55">
        <f t="shared" ca="1" si="158"/>
        <v>0</v>
      </c>
      <c r="BE267" s="55">
        <f t="shared" ca="1" si="158"/>
        <v>0</v>
      </c>
      <c r="BF267" s="55">
        <f t="shared" ca="1" si="158"/>
        <v>0</v>
      </c>
      <c r="BG267" s="55">
        <f t="shared" ca="1" si="158"/>
        <v>0</v>
      </c>
      <c r="BH267" s="55">
        <f t="shared" ca="1" si="158"/>
        <v>0</v>
      </c>
      <c r="BI267" s="55">
        <f t="shared" ca="1" si="158"/>
        <v>0</v>
      </c>
      <c r="BJ267" s="55">
        <f t="shared" ca="1" si="158"/>
        <v>0</v>
      </c>
      <c r="BK267" s="55">
        <f t="shared" ca="1" si="158"/>
        <v>0</v>
      </c>
      <c r="BL267" s="55">
        <f t="shared" ca="1" si="158"/>
        <v>0</v>
      </c>
      <c r="BM267" s="55">
        <f t="shared" ca="1" si="158"/>
        <v>0</v>
      </c>
      <c r="BN267" s="55">
        <f t="shared" ca="1" si="158"/>
        <v>0</v>
      </c>
      <c r="BO267" s="55">
        <f t="shared" ca="1" si="158"/>
        <v>0</v>
      </c>
      <c r="BP267" s="55">
        <f t="shared" ca="1" si="158"/>
        <v>0</v>
      </c>
    </row>
    <row r="268" spans="1:68" x14ac:dyDescent="0.2">
      <c r="C268" s="1" t="s">
        <v>222</v>
      </c>
      <c r="I268" s="55">
        <f ca="1">SUM(I265:I267)</f>
        <v>-1016319.4262</v>
      </c>
      <c r="J268" s="55">
        <f ca="1">J263+I268</f>
        <v>-1040816.3784</v>
      </c>
      <c r="K268" s="55">
        <f t="shared" ref="K268:BP268" ca="1" si="159">K263+J268</f>
        <v>-1098092.0285333334</v>
      </c>
      <c r="L268" s="55">
        <f t="shared" ca="1" si="159"/>
        <v>-1168043.7868666667</v>
      </c>
      <c r="M268" s="55">
        <f t="shared" ca="1" si="159"/>
        <v>-1242677.8517333334</v>
      </c>
      <c r="N268" s="55">
        <f t="shared" ca="1" si="159"/>
        <v>-1336665.7690666667</v>
      </c>
      <c r="O268" s="55">
        <f t="shared" ca="1" si="159"/>
        <v>-1448515.0805333334</v>
      </c>
      <c r="P268" s="55">
        <f t="shared" ca="1" si="159"/>
        <v>-1556686.5014666666</v>
      </c>
      <c r="Q268" s="55">
        <f t="shared" ca="1" si="159"/>
        <v>-1678221.3806666667</v>
      </c>
      <c r="R268" s="55">
        <f t="shared" ca="1" si="159"/>
        <v>-1818473.2546666667</v>
      </c>
      <c r="S268" s="55">
        <f t="shared" ca="1" si="159"/>
        <v>-1973174.1413333334</v>
      </c>
      <c r="T268" s="55">
        <f t="shared" ca="1" si="159"/>
        <v>-2141898.8597333333</v>
      </c>
      <c r="U268" s="55">
        <f t="shared" ca="1" si="159"/>
        <v>-2318229.2190666664</v>
      </c>
      <c r="V268" s="55">
        <f t="shared" ca="1" si="159"/>
        <v>-2509822.1189333331</v>
      </c>
      <c r="W268" s="55">
        <f t="shared" ca="1" si="159"/>
        <v>-2711204.3461333332</v>
      </c>
      <c r="X268" s="55">
        <f t="shared" ca="1" si="159"/>
        <v>-2914396.4569333331</v>
      </c>
      <c r="Y268" s="55">
        <f t="shared" ca="1" si="159"/>
        <v>-3124925.4898666665</v>
      </c>
      <c r="Z268" s="55">
        <f t="shared" ca="1" si="159"/>
        <v>-3335463.0693333331</v>
      </c>
      <c r="AA268" s="55">
        <f t="shared" ca="1" si="159"/>
        <v>-3535182.6947999997</v>
      </c>
      <c r="AB268" s="55">
        <f t="shared" ca="1" si="159"/>
        <v>-3718114.2809333331</v>
      </c>
      <c r="AC268" s="55">
        <f t="shared" ca="1" si="159"/>
        <v>-3893669.0215999996</v>
      </c>
      <c r="AD268" s="55">
        <f t="shared" ca="1" si="159"/>
        <v>-4028884.7203999995</v>
      </c>
      <c r="AE268" s="55">
        <f t="shared" ca="1" si="159"/>
        <v>-4111537.3827999993</v>
      </c>
      <c r="AF268" s="55">
        <f t="shared" ca="1" si="159"/>
        <v>-4133646.2275999994</v>
      </c>
      <c r="AG268" s="55">
        <f t="shared" ca="1" si="159"/>
        <v>-3844836.4363999991</v>
      </c>
      <c r="AH268" s="55">
        <f t="shared" ca="1" si="159"/>
        <v>-3443082.7679999992</v>
      </c>
      <c r="AI268" s="55">
        <f t="shared" ca="1" si="159"/>
        <v>-2945502.6033333326</v>
      </c>
      <c r="AJ268" s="55">
        <f t="shared" ca="1" si="159"/>
        <v>-2347244.6586666661</v>
      </c>
      <c r="AK268" s="55">
        <f t="shared" ca="1" si="159"/>
        <v>-1663323.994666666</v>
      </c>
      <c r="AL268" s="55">
        <f t="shared" ca="1" si="159"/>
        <v>-890192.62399999949</v>
      </c>
      <c r="AM268" s="55">
        <f t="shared" ca="1" si="159"/>
        <v>-2533.8986666662386</v>
      </c>
      <c r="AN268" s="55">
        <f t="shared" ca="1" si="159"/>
        <v>1010233.9926666669</v>
      </c>
      <c r="AO268" s="55">
        <f t="shared" ca="1" si="159"/>
        <v>2148660.260666667</v>
      </c>
      <c r="AP268" s="55">
        <f t="shared" ca="1" si="159"/>
        <v>3442791.0193333337</v>
      </c>
      <c r="AQ268" s="55">
        <f t="shared" ca="1" si="159"/>
        <v>4899398.913333334</v>
      </c>
      <c r="AR268" s="55">
        <f t="shared" ca="1" si="159"/>
        <v>6539881.2440000009</v>
      </c>
      <c r="AS268" s="55">
        <f t="shared" ca="1" si="159"/>
        <v>8405332.9113333337</v>
      </c>
      <c r="AT268" s="55">
        <f t="shared" ca="1" si="159"/>
        <v>10514993.891333334</v>
      </c>
      <c r="AU268" s="55">
        <f t="shared" ca="1" si="159"/>
        <v>12893791.081333334</v>
      </c>
      <c r="AV268" s="55">
        <f t="shared" ca="1" si="159"/>
        <v>15568559.247333333</v>
      </c>
      <c r="AW268" s="55">
        <f t="shared" ca="1" si="159"/>
        <v>18568595.50333333</v>
      </c>
      <c r="AX268" s="55">
        <f t="shared" ca="1" si="159"/>
        <v>21926101.38933333</v>
      </c>
      <c r="AY268" s="55">
        <f t="shared" ca="1" si="159"/>
        <v>25676469.395333327</v>
      </c>
      <c r="AZ268" s="55">
        <f t="shared" ca="1" si="159"/>
        <v>29858588.455333326</v>
      </c>
      <c r="BA268" s="55">
        <f t="shared" ca="1" si="159"/>
        <v>34515202.963333324</v>
      </c>
      <c r="BB268" s="55">
        <f t="shared" ca="1" si="159"/>
        <v>39693288.743333325</v>
      </c>
      <c r="BC268" s="55">
        <f t="shared" ca="1" si="159"/>
        <v>45444474.015333325</v>
      </c>
      <c r="BD268" s="55">
        <f t="shared" ca="1" si="159"/>
        <v>51825490.013333321</v>
      </c>
      <c r="BE268" s="55">
        <f t="shared" ca="1" si="159"/>
        <v>59840083.828533322</v>
      </c>
      <c r="BF268" s="55">
        <f t="shared" ca="1" si="159"/>
        <v>69038647.992133319</v>
      </c>
      <c r="BG268" s="55">
        <f t="shared" ca="1" si="159"/>
        <v>79391764.491733313</v>
      </c>
      <c r="BH268" s="55">
        <f t="shared" ca="1" si="159"/>
        <v>91019859.885333315</v>
      </c>
      <c r="BI268" s="55">
        <f t="shared" ca="1" si="159"/>
        <v>103859652.62453331</v>
      </c>
      <c r="BJ268" s="55">
        <f t="shared" ca="1" si="159"/>
        <v>118031103.6637333</v>
      </c>
      <c r="BK268" s="55">
        <f t="shared" ca="1" si="159"/>
        <v>133666046.6685333</v>
      </c>
      <c r="BL268" s="55">
        <f t="shared" ca="1" si="159"/>
        <v>150909372.48293328</v>
      </c>
      <c r="BM268" s="55">
        <f t="shared" ca="1" si="159"/>
        <v>169920305.35813329</v>
      </c>
      <c r="BN268" s="55">
        <f t="shared" ca="1" si="159"/>
        <v>190873833.25413328</v>
      </c>
      <c r="BO268" s="55">
        <f t="shared" ca="1" si="159"/>
        <v>213962276.38853329</v>
      </c>
      <c r="BP268" s="55">
        <f t="shared" ca="1" si="159"/>
        <v>239396995.64533329</v>
      </c>
    </row>
    <row r="269" spans="1:68" x14ac:dyDescent="0.2">
      <c r="I269" s="55"/>
      <c r="J269" s="55"/>
      <c r="K269" s="55"/>
      <c r="L269" s="55"/>
      <c r="M269" s="55"/>
      <c r="N269" s="55"/>
      <c r="O269" s="55"/>
      <c r="P269" s="55"/>
      <c r="Q269" s="55"/>
      <c r="R269" s="55"/>
      <c r="S269" s="55"/>
      <c r="T269" s="55"/>
      <c r="U269" s="55"/>
      <c r="V269" s="55"/>
      <c r="W269" s="55"/>
      <c r="X269" s="55"/>
      <c r="Y269" s="55"/>
      <c r="Z269" s="55"/>
      <c r="AA269" s="55"/>
      <c r="AB269" s="55"/>
      <c r="AC269" s="55"/>
      <c r="AD269" s="55"/>
      <c r="AE269" s="55"/>
      <c r="AF269" s="55"/>
      <c r="AG269" s="55"/>
      <c r="AH269" s="55"/>
      <c r="AI269" s="55"/>
      <c r="AJ269" s="55"/>
      <c r="AK269" s="55"/>
      <c r="AL269" s="55"/>
      <c r="AM269" s="55"/>
      <c r="AN269" s="55"/>
      <c r="AO269" s="55"/>
      <c r="AP269" s="55"/>
      <c r="AQ269" s="55"/>
      <c r="AR269" s="55"/>
      <c r="AS269" s="55"/>
      <c r="AT269" s="55"/>
      <c r="AU269" s="55"/>
      <c r="AV269" s="55"/>
      <c r="AW269" s="55"/>
      <c r="AX269" s="55"/>
      <c r="AY269" s="55"/>
      <c r="AZ269" s="55"/>
      <c r="BA269" s="55"/>
      <c r="BB269" s="55"/>
      <c r="BC269" s="55"/>
      <c r="BD269" s="55"/>
      <c r="BE269" s="55"/>
      <c r="BF269" s="55"/>
      <c r="BG269" s="55"/>
      <c r="BH269" s="55"/>
      <c r="BI269" s="55"/>
      <c r="BJ269" s="55"/>
      <c r="BK269" s="55"/>
      <c r="BL269" s="55"/>
      <c r="BM269" s="55"/>
      <c r="BN269" s="55"/>
      <c r="BO269" s="55"/>
      <c r="BP269" s="55"/>
    </row>
    <row r="270" spans="1:68" x14ac:dyDescent="0.2">
      <c r="C270" s="1" t="s">
        <v>223</v>
      </c>
      <c r="I270" s="95" t="b">
        <f ca="1">AND(I268&gt;=0,H268&lt;0)</f>
        <v>0</v>
      </c>
      <c r="J270" s="95" t="b">
        <f t="shared" ref="J270:BP270" ca="1" si="160">AND(J268&gt;=0,I268&lt;0)</f>
        <v>0</v>
      </c>
      <c r="K270" s="95" t="b">
        <f t="shared" ca="1" si="160"/>
        <v>0</v>
      </c>
      <c r="L270" s="95" t="b">
        <f t="shared" ca="1" si="160"/>
        <v>0</v>
      </c>
      <c r="M270" s="95" t="b">
        <f t="shared" ca="1" si="160"/>
        <v>0</v>
      </c>
      <c r="N270" s="95" t="b">
        <f t="shared" ca="1" si="160"/>
        <v>0</v>
      </c>
      <c r="O270" s="95" t="b">
        <f t="shared" ca="1" si="160"/>
        <v>0</v>
      </c>
      <c r="P270" s="95" t="b">
        <f t="shared" ca="1" si="160"/>
        <v>0</v>
      </c>
      <c r="Q270" s="95" t="b">
        <f t="shared" ca="1" si="160"/>
        <v>0</v>
      </c>
      <c r="R270" s="95" t="b">
        <f t="shared" ca="1" si="160"/>
        <v>0</v>
      </c>
      <c r="S270" s="95" t="b">
        <f t="shared" ca="1" si="160"/>
        <v>0</v>
      </c>
      <c r="T270" s="95" t="b">
        <f t="shared" ca="1" si="160"/>
        <v>0</v>
      </c>
      <c r="U270" s="95" t="b">
        <f t="shared" ca="1" si="160"/>
        <v>0</v>
      </c>
      <c r="V270" s="95" t="b">
        <f t="shared" ca="1" si="160"/>
        <v>0</v>
      </c>
      <c r="W270" s="95" t="b">
        <f t="shared" ca="1" si="160"/>
        <v>0</v>
      </c>
      <c r="X270" s="95" t="b">
        <f t="shared" ca="1" si="160"/>
        <v>0</v>
      </c>
      <c r="Y270" s="95" t="b">
        <f t="shared" ca="1" si="160"/>
        <v>0</v>
      </c>
      <c r="Z270" s="95" t="b">
        <f t="shared" ca="1" si="160"/>
        <v>0</v>
      </c>
      <c r="AA270" s="95" t="b">
        <f t="shared" ca="1" si="160"/>
        <v>0</v>
      </c>
      <c r="AB270" s="95" t="b">
        <f t="shared" ca="1" si="160"/>
        <v>0</v>
      </c>
      <c r="AC270" s="95" t="b">
        <f t="shared" ca="1" si="160"/>
        <v>0</v>
      </c>
      <c r="AD270" s="95" t="b">
        <f t="shared" ca="1" si="160"/>
        <v>0</v>
      </c>
      <c r="AE270" s="95" t="b">
        <f t="shared" ca="1" si="160"/>
        <v>0</v>
      </c>
      <c r="AF270" s="95" t="b">
        <f t="shared" ca="1" si="160"/>
        <v>0</v>
      </c>
      <c r="AG270" s="95" t="b">
        <f t="shared" ca="1" si="160"/>
        <v>0</v>
      </c>
      <c r="AH270" s="95" t="b">
        <f t="shared" ca="1" si="160"/>
        <v>0</v>
      </c>
      <c r="AI270" s="95" t="b">
        <f t="shared" ca="1" si="160"/>
        <v>0</v>
      </c>
      <c r="AJ270" s="95" t="b">
        <f t="shared" ca="1" si="160"/>
        <v>0</v>
      </c>
      <c r="AK270" s="95" t="b">
        <f t="shared" ca="1" si="160"/>
        <v>0</v>
      </c>
      <c r="AL270" s="95" t="b">
        <f t="shared" ca="1" si="160"/>
        <v>0</v>
      </c>
      <c r="AM270" s="95" t="b">
        <f t="shared" ca="1" si="160"/>
        <v>0</v>
      </c>
      <c r="AN270" s="95" t="b">
        <f t="shared" ca="1" si="160"/>
        <v>1</v>
      </c>
      <c r="AO270" s="95" t="b">
        <f t="shared" ca="1" si="160"/>
        <v>0</v>
      </c>
      <c r="AP270" s="95" t="b">
        <f t="shared" ca="1" si="160"/>
        <v>0</v>
      </c>
      <c r="AQ270" s="95" t="b">
        <f t="shared" ca="1" si="160"/>
        <v>0</v>
      </c>
      <c r="AR270" s="95" t="b">
        <f t="shared" ca="1" si="160"/>
        <v>0</v>
      </c>
      <c r="AS270" s="95" t="b">
        <f t="shared" ca="1" si="160"/>
        <v>0</v>
      </c>
      <c r="AT270" s="95" t="b">
        <f t="shared" ca="1" si="160"/>
        <v>0</v>
      </c>
      <c r="AU270" s="95" t="b">
        <f t="shared" ca="1" si="160"/>
        <v>0</v>
      </c>
      <c r="AV270" s="95" t="b">
        <f t="shared" ca="1" si="160"/>
        <v>0</v>
      </c>
      <c r="AW270" s="95" t="b">
        <f t="shared" ca="1" si="160"/>
        <v>0</v>
      </c>
      <c r="AX270" s="95" t="b">
        <f t="shared" ca="1" si="160"/>
        <v>0</v>
      </c>
      <c r="AY270" s="95" t="b">
        <f t="shared" ca="1" si="160"/>
        <v>0</v>
      </c>
      <c r="AZ270" s="95" t="b">
        <f t="shared" ca="1" si="160"/>
        <v>0</v>
      </c>
      <c r="BA270" s="95" t="b">
        <f t="shared" ca="1" si="160"/>
        <v>0</v>
      </c>
      <c r="BB270" s="95" t="b">
        <f t="shared" ca="1" si="160"/>
        <v>0</v>
      </c>
      <c r="BC270" s="95" t="b">
        <f t="shared" ca="1" si="160"/>
        <v>0</v>
      </c>
      <c r="BD270" s="95" t="b">
        <f t="shared" ca="1" si="160"/>
        <v>0</v>
      </c>
      <c r="BE270" s="95" t="b">
        <f t="shared" ca="1" si="160"/>
        <v>0</v>
      </c>
      <c r="BF270" s="95" t="b">
        <f t="shared" ca="1" si="160"/>
        <v>0</v>
      </c>
      <c r="BG270" s="95" t="b">
        <f t="shared" ca="1" si="160"/>
        <v>0</v>
      </c>
      <c r="BH270" s="95" t="b">
        <f t="shared" ca="1" si="160"/>
        <v>0</v>
      </c>
      <c r="BI270" s="95" t="b">
        <f t="shared" ca="1" si="160"/>
        <v>0</v>
      </c>
      <c r="BJ270" s="95" t="b">
        <f t="shared" ca="1" si="160"/>
        <v>0</v>
      </c>
      <c r="BK270" s="95" t="b">
        <f t="shared" ca="1" si="160"/>
        <v>0</v>
      </c>
      <c r="BL270" s="95" t="b">
        <f t="shared" ca="1" si="160"/>
        <v>0</v>
      </c>
      <c r="BM270" s="95" t="b">
        <f t="shared" ca="1" si="160"/>
        <v>0</v>
      </c>
      <c r="BN270" s="95" t="b">
        <f t="shared" ca="1" si="160"/>
        <v>0</v>
      </c>
      <c r="BO270" s="95" t="b">
        <f t="shared" ca="1" si="160"/>
        <v>0</v>
      </c>
      <c r="BP270" s="95" t="b">
        <f t="shared" ca="1" si="160"/>
        <v>0</v>
      </c>
    </row>
    <row r="271" spans="1:68" x14ac:dyDescent="0.2">
      <c r="C271" s="1" t="s">
        <v>224</v>
      </c>
      <c r="H271" s="1">
        <f ca="1">IFERROR(MATCH(TRUE,I270:BP270,0),"No payback")</f>
        <v>32</v>
      </c>
    </row>
    <row r="272" spans="1:68" x14ac:dyDescent="0.2">
      <c r="C272" s="1" t="s">
        <v>225</v>
      </c>
      <c r="H272" s="55">
        <f ca="1">MIN(I265:BP265)</f>
        <v>-3133646.2275999994</v>
      </c>
    </row>
    <row r="274" spans="3:68" x14ac:dyDescent="0.2">
      <c r="C274" s="1" t="s">
        <v>226</v>
      </c>
      <c r="H274" s="55">
        <f ca="1">BP263*(1+AssmTVGrowthRate/12)</f>
        <v>25477110.455561332</v>
      </c>
    </row>
    <row r="275" spans="3:68" x14ac:dyDescent="0.2">
      <c r="C275" s="1" t="s">
        <v>227</v>
      </c>
      <c r="H275" s="55"/>
      <c r="BP275" s="55">
        <f ca="1">H274/(AssmWACC-AssmTVGrowthRate)</f>
        <v>318463880.69451666</v>
      </c>
    </row>
    <row r="276" spans="3:68" x14ac:dyDescent="0.2">
      <c r="H276" s="55"/>
    </row>
    <row r="277" spans="3:68" x14ac:dyDescent="0.2">
      <c r="C277" s="1" t="s">
        <v>228</v>
      </c>
      <c r="H277" s="55"/>
      <c r="I277" s="55">
        <f ca="1">I263+I275</f>
        <v>-16319.426200000002</v>
      </c>
      <c r="J277" s="55">
        <f t="shared" ref="J277:BP277" ca="1" si="161">J263+J275</f>
        <v>-24496.9522</v>
      </c>
      <c r="K277" s="55">
        <f t="shared" ca="1" si="161"/>
        <v>-57275.650133333329</v>
      </c>
      <c r="L277" s="55">
        <f t="shared" ca="1" si="161"/>
        <v>-69951.758333333346</v>
      </c>
      <c r="M277" s="55">
        <f t="shared" ca="1" si="161"/>
        <v>-74634.064866666668</v>
      </c>
      <c r="N277" s="55">
        <f t="shared" ca="1" si="161"/>
        <v>-93987.917333333346</v>
      </c>
      <c r="O277" s="55">
        <f t="shared" ca="1" si="161"/>
        <v>-111849.31146666667</v>
      </c>
      <c r="P277" s="55">
        <f t="shared" ca="1" si="161"/>
        <v>-108171.42093333333</v>
      </c>
      <c r="Q277" s="55">
        <f t="shared" ca="1" si="161"/>
        <v>-121534.8792</v>
      </c>
      <c r="R277" s="55">
        <f t="shared" ca="1" si="161"/>
        <v>-140251.87400000001</v>
      </c>
      <c r="S277" s="55">
        <f t="shared" ca="1" si="161"/>
        <v>-154700.88666666666</v>
      </c>
      <c r="T277" s="55">
        <f t="shared" ca="1" si="161"/>
        <v>-168724.71840000001</v>
      </c>
      <c r="U277" s="55">
        <f t="shared" ca="1" si="161"/>
        <v>-176330.35933333333</v>
      </c>
      <c r="V277" s="55">
        <f t="shared" ca="1" si="161"/>
        <v>-191592.8998666667</v>
      </c>
      <c r="W277" s="55">
        <f t="shared" ca="1" si="161"/>
        <v>-201382.22719999996</v>
      </c>
      <c r="X277" s="55">
        <f t="shared" ca="1" si="161"/>
        <v>-203192.11080000002</v>
      </c>
      <c r="Y277" s="55">
        <f t="shared" ca="1" si="161"/>
        <v>-210529.03293333334</v>
      </c>
      <c r="Z277" s="55">
        <f t="shared" ca="1" si="161"/>
        <v>-210537.57946666665</v>
      </c>
      <c r="AA277" s="55">
        <f t="shared" ca="1" si="161"/>
        <v>-199719.62546666665</v>
      </c>
      <c r="AB277" s="55">
        <f t="shared" ca="1" si="161"/>
        <v>-182931.58613333336</v>
      </c>
      <c r="AC277" s="55">
        <f t="shared" ca="1" si="161"/>
        <v>-175554.74066666665</v>
      </c>
      <c r="AD277" s="55">
        <f t="shared" ca="1" si="161"/>
        <v>-135215.69880000007</v>
      </c>
      <c r="AE277" s="55">
        <f t="shared" ca="1" si="161"/>
        <v>-82652.662400000001</v>
      </c>
      <c r="AF277" s="55">
        <f t="shared" ca="1" si="161"/>
        <v>-22108.844799999999</v>
      </c>
      <c r="AG277" s="55">
        <f t="shared" ca="1" si="161"/>
        <v>288809.79120000009</v>
      </c>
      <c r="AH277" s="55">
        <f t="shared" ca="1" si="161"/>
        <v>401753.66839999997</v>
      </c>
      <c r="AI277" s="55">
        <f t="shared" ca="1" si="161"/>
        <v>497580.16466666665</v>
      </c>
      <c r="AJ277" s="55">
        <f t="shared" ca="1" si="161"/>
        <v>598257.94466666656</v>
      </c>
      <c r="AK277" s="55">
        <f t="shared" ca="1" si="161"/>
        <v>683920.66400000011</v>
      </c>
      <c r="AL277" s="55">
        <f t="shared" ca="1" si="161"/>
        <v>773131.37066666654</v>
      </c>
      <c r="AM277" s="55">
        <f t="shared" ca="1" si="161"/>
        <v>887658.72533333325</v>
      </c>
      <c r="AN277" s="55">
        <f t="shared" ca="1" si="161"/>
        <v>1012767.8913333331</v>
      </c>
      <c r="AO277" s="55">
        <f t="shared" ca="1" si="161"/>
        <v>1138426.2680000002</v>
      </c>
      <c r="AP277" s="55">
        <f t="shared" ca="1" si="161"/>
        <v>1294130.7586666665</v>
      </c>
      <c r="AQ277" s="55">
        <f t="shared" ca="1" si="161"/>
        <v>1456607.8939999999</v>
      </c>
      <c r="AR277" s="55">
        <f t="shared" ca="1" si="161"/>
        <v>1640482.3306666666</v>
      </c>
      <c r="AS277" s="55">
        <f t="shared" ca="1" si="161"/>
        <v>1865451.6673333333</v>
      </c>
      <c r="AT277" s="55">
        <f t="shared" ca="1" si="161"/>
        <v>2109660.98</v>
      </c>
      <c r="AU277" s="55">
        <f t="shared" ca="1" si="161"/>
        <v>2378797.19</v>
      </c>
      <c r="AV277" s="55">
        <f t="shared" ca="1" si="161"/>
        <v>2674768.1659999993</v>
      </c>
      <c r="AW277" s="55">
        <f t="shared" ca="1" si="161"/>
        <v>3000036.2559999991</v>
      </c>
      <c r="AX277" s="55">
        <f t="shared" ca="1" si="161"/>
        <v>3357505.8859999999</v>
      </c>
      <c r="AY277" s="55">
        <f t="shared" ca="1" si="161"/>
        <v>3750368.0059999991</v>
      </c>
      <c r="AZ277" s="55">
        <f t="shared" ca="1" si="161"/>
        <v>4182119.0599999996</v>
      </c>
      <c r="BA277" s="55">
        <f t="shared" ca="1" si="161"/>
        <v>4656614.5079999994</v>
      </c>
      <c r="BB277" s="55">
        <f t="shared" ca="1" si="161"/>
        <v>5178085.7799999993</v>
      </c>
      <c r="BC277" s="55">
        <f t="shared" ca="1" si="161"/>
        <v>5751185.2719999999</v>
      </c>
      <c r="BD277" s="55">
        <f t="shared" ca="1" si="161"/>
        <v>6381015.9979999997</v>
      </c>
      <c r="BE277" s="55">
        <f t="shared" ca="1" si="161"/>
        <v>8014593.8151999991</v>
      </c>
      <c r="BF277" s="55">
        <f t="shared" ca="1" si="161"/>
        <v>9198564.1635999996</v>
      </c>
      <c r="BG277" s="55">
        <f t="shared" ca="1" si="161"/>
        <v>10353116.499600001</v>
      </c>
      <c r="BH277" s="55">
        <f t="shared" ca="1" si="161"/>
        <v>11628095.393600002</v>
      </c>
      <c r="BI277" s="55">
        <f t="shared" ca="1" si="161"/>
        <v>12839792.739200002</v>
      </c>
      <c r="BJ277" s="55">
        <f t="shared" ca="1" si="161"/>
        <v>14171451.0392</v>
      </c>
      <c r="BK277" s="55">
        <f t="shared" ca="1" si="161"/>
        <v>15634943.004799999</v>
      </c>
      <c r="BL277" s="55">
        <f t="shared" ca="1" si="161"/>
        <v>17243325.814400002</v>
      </c>
      <c r="BM277" s="55">
        <f t="shared" ca="1" si="161"/>
        <v>19010932.8752</v>
      </c>
      <c r="BN277" s="55">
        <f t="shared" ca="1" si="161"/>
        <v>20953527.895999998</v>
      </c>
      <c r="BO277" s="55">
        <f t="shared" ca="1" si="161"/>
        <v>23088443.134400003</v>
      </c>
      <c r="BP277" s="55">
        <f t="shared" ca="1" si="161"/>
        <v>343898599.95131665</v>
      </c>
    </row>
    <row r="278" spans="3:68" x14ac:dyDescent="0.2">
      <c r="H278" s="55"/>
    </row>
    <row r="279" spans="3:68" x14ac:dyDescent="0.2">
      <c r="C279" s="1" t="s">
        <v>45</v>
      </c>
      <c r="H279" s="55">
        <f ca="1">XNPV(AssmWACC,I277:BP277,I6:BP6)</f>
        <v>358612302.33449161</v>
      </c>
    </row>
    <row r="280" spans="3:68" x14ac:dyDescent="0.2">
      <c r="C280" s="1" t="s">
        <v>46</v>
      </c>
      <c r="H280" s="86">
        <f ca="1">IFERROR(XIRR(I277:BP277,I6:BP6),"No IRR")</f>
        <v>3.7125931978225712</v>
      </c>
    </row>
  </sheetData>
  <phoneticPr fontId="2" type="noConversion"/>
  <conditionalFormatting sqref="A4">
    <cfRule type="cellIs" dxfId="10" priority="1" operator="equal">
      <formula>FALSE</formula>
    </cfRule>
    <cfRule type="cellIs" dxfId="9" priority="2" operator="equal">
      <formula>TRUE</formula>
    </cfRule>
  </conditionalFormatting>
  <conditionalFormatting sqref="H130">
    <cfRule type="cellIs" dxfId="8" priority="4" operator="equal">
      <formula>FALSE</formula>
    </cfRule>
    <cfRule type="cellIs" dxfId="7" priority="5" operator="equal">
      <formula>TRUE</formula>
    </cfRule>
  </conditionalFormatting>
  <conditionalFormatting sqref="I130:BP130">
    <cfRule type="cellIs" dxfId="6" priority="8" operator="notEqual">
      <formula>"OK"</formula>
    </cfRule>
    <cfRule type="cellIs" dxfId="5" priority="9" operator="equal">
      <formula>"OK"</formula>
    </cfRule>
  </conditionalFormatting>
  <conditionalFormatting sqref="I270:BP270">
    <cfRule type="cellIs" dxfId="4" priority="3" operator="equal">
      <formula>TRUE</formula>
    </cfRule>
  </conditionalFormatting>
  <dataValidations disablePrompts="1" count="1">
    <dataValidation type="list" allowBlank="1" showInputMessage="1" showErrorMessage="1" sqref="F27:F32" xr:uid="{00000000-0002-0000-0500-000000000000}">
      <formula1>refStaffPositions</formula1>
    </dataValidation>
  </dataValidations>
  <hyperlinks>
    <hyperlink ref="A3" location="Start" display="ToC" xr:uid="{00000000-0004-0000-0500-000000000000}"/>
  </hyperlinks>
  <pageMargins left="0.75" right="0.75" top="1" bottom="1" header="0.5" footer="0.5"/>
  <pageSetup paperSize="9" orientation="portrait" r:id="rId1"/>
  <headerFooter alignWithMargins="0"/>
  <customProperties>
    <customPr name="layoutContexts" r:id="rId2"/>
    <customPr name="SaveUndoMode" r:id="rId3"/>
  </customProperties>
  <legacyDrawing r:id="rId4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3">
    <tabColor theme="4"/>
  </sheetPr>
  <dimension ref="A1:BR123"/>
  <sheetViews>
    <sheetView showGridLines="0" topLeftCell="A4" zoomScale="188" workbookViewId="0">
      <selection activeCell="I12" sqref="I12"/>
    </sheetView>
  </sheetViews>
  <sheetFormatPr defaultColWidth="0" defaultRowHeight="12.75" x14ac:dyDescent="0.2"/>
  <cols>
    <col min="1" max="1" width="4.28515625" style="1" bestFit="1" customWidth="1"/>
    <col min="2" max="4" width="3" style="1" customWidth="1"/>
    <col min="5" max="5" width="4.28515625" style="1" customWidth="1"/>
    <col min="6" max="6" width="27.28515625" style="1" customWidth="1"/>
    <col min="7" max="7" width="26.7109375" style="1" customWidth="1"/>
    <col min="8" max="8" width="14.7109375" style="1" customWidth="1"/>
    <col min="9" max="9" width="14.28515625" style="1" customWidth="1"/>
    <col min="10" max="67" width="11.28515625" style="1" customWidth="1"/>
    <col min="68" max="70" width="0" style="1" hidden="1" customWidth="1"/>
    <col min="71" max="16384" width="9.28515625" style="1" hidden="1"/>
  </cols>
  <sheetData>
    <row r="1" spans="1:68" ht="44.25" customHeight="1" thickBot="1" x14ac:dyDescent="0.35">
      <c r="A1" s="70"/>
      <c r="B1" s="70" t="str">
        <f ca="1">AssmModelHeader</f>
        <v>Growth Startup (High)</v>
      </c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  <c r="X1" s="70"/>
      <c r="Y1" s="70"/>
      <c r="Z1" s="70"/>
      <c r="AA1" s="70"/>
      <c r="AB1" s="70"/>
      <c r="AC1" s="70"/>
      <c r="AD1" s="70"/>
      <c r="AE1" s="70"/>
      <c r="AF1" s="70"/>
      <c r="AG1" s="70"/>
      <c r="AH1" s="70"/>
      <c r="AI1" s="70"/>
      <c r="AJ1" s="70"/>
      <c r="AK1" s="70"/>
      <c r="AL1" s="70"/>
      <c r="AM1" s="70"/>
      <c r="AN1" s="70"/>
      <c r="AO1" s="70"/>
      <c r="AP1" s="70"/>
      <c r="AQ1" s="70"/>
      <c r="AR1" s="70"/>
      <c r="AS1" s="70"/>
      <c r="AT1" s="70"/>
      <c r="AU1" s="70"/>
      <c r="AV1" s="70"/>
      <c r="AW1" s="70"/>
      <c r="AX1" s="70"/>
      <c r="AY1" s="70"/>
      <c r="AZ1" s="70"/>
      <c r="BA1" s="70"/>
      <c r="BB1" s="70"/>
      <c r="BC1" s="70"/>
      <c r="BD1" s="70"/>
      <c r="BE1" s="70"/>
      <c r="BF1" s="70"/>
      <c r="BG1" s="70"/>
      <c r="BH1" s="70"/>
      <c r="BI1" s="70"/>
      <c r="BJ1" s="70"/>
      <c r="BK1" s="70"/>
      <c r="BL1" s="70"/>
      <c r="BM1" s="70"/>
      <c r="BN1" s="70"/>
      <c r="BO1" s="70"/>
      <c r="BP1" s="70"/>
    </row>
    <row r="2" spans="1:68" ht="18.75" thickTop="1" thickBot="1" x14ac:dyDescent="0.35">
      <c r="A2" s="69"/>
      <c r="B2" s="69" t="str">
        <f ca="1">RIGHT(CELL("filename",A1),LEN(CELL("filename",A1))-FIND("]",CELL("filename",A1)))</f>
        <v>Assumptions</v>
      </c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69"/>
      <c r="W2" s="69"/>
      <c r="X2" s="69"/>
      <c r="Y2" s="69"/>
      <c r="Z2" s="69"/>
      <c r="AA2" s="69"/>
      <c r="AB2" s="69"/>
      <c r="AC2" s="69"/>
      <c r="AD2" s="69"/>
      <c r="AE2" s="69"/>
      <c r="AF2" s="69"/>
      <c r="AG2" s="69"/>
      <c r="AH2" s="69"/>
      <c r="AI2" s="69"/>
      <c r="AJ2" s="69"/>
      <c r="AK2" s="69"/>
      <c r="AL2" s="69"/>
      <c r="AM2" s="69"/>
      <c r="AN2" s="69"/>
      <c r="AO2" s="69"/>
      <c r="AP2" s="69"/>
      <c r="AQ2" s="69"/>
      <c r="AR2" s="69"/>
      <c r="AS2" s="69"/>
      <c r="AT2" s="69"/>
      <c r="AU2" s="69"/>
      <c r="AV2" s="69"/>
      <c r="AW2" s="69"/>
      <c r="AX2" s="69"/>
      <c r="AY2" s="69"/>
      <c r="AZ2" s="69"/>
      <c r="BA2" s="69"/>
      <c r="BB2" s="69"/>
      <c r="BC2" s="69"/>
      <c r="BD2" s="69"/>
      <c r="BE2" s="69"/>
      <c r="BF2" s="69"/>
      <c r="BG2" s="69"/>
      <c r="BH2" s="69"/>
      <c r="BI2" s="69"/>
      <c r="BJ2" s="69"/>
      <c r="BK2" s="69"/>
      <c r="BL2" s="69"/>
      <c r="BM2" s="69"/>
      <c r="BN2" s="69"/>
      <c r="BO2" s="69"/>
      <c r="BP2" s="69"/>
    </row>
    <row r="3" spans="1:68" ht="13.5" thickTop="1" x14ac:dyDescent="0.2">
      <c r="A3" s="93" t="s">
        <v>12</v>
      </c>
    </row>
    <row r="4" spans="1:68" x14ac:dyDescent="0.2">
      <c r="A4" s="80" t="b">
        <f ca="1">ErrChkOverall</f>
        <v>1</v>
      </c>
    </row>
    <row r="6" spans="1:68" ht="15.75" thickBot="1" x14ac:dyDescent="0.3">
      <c r="A6" s="68"/>
      <c r="B6" s="68"/>
      <c r="C6" s="68"/>
      <c r="D6" s="68" t="s">
        <v>229</v>
      </c>
      <c r="E6" s="68"/>
      <c r="F6" s="68"/>
      <c r="G6" s="71" t="s">
        <v>230</v>
      </c>
      <c r="H6" s="71" t="s">
        <v>231</v>
      </c>
      <c r="I6" s="68" t="s">
        <v>232</v>
      </c>
      <c r="J6" s="68"/>
      <c r="K6" s="68"/>
      <c r="L6" s="68"/>
      <c r="M6" s="68"/>
      <c r="N6" s="68"/>
      <c r="O6" s="68"/>
      <c r="P6" s="68"/>
      <c r="Q6" s="68"/>
      <c r="R6" s="68"/>
      <c r="S6" s="68"/>
      <c r="T6" s="68"/>
      <c r="U6" s="68"/>
      <c r="V6" s="68"/>
      <c r="W6" s="68"/>
      <c r="X6" s="68"/>
      <c r="Y6" s="68"/>
      <c r="Z6" s="68"/>
      <c r="AA6" s="68"/>
      <c r="AB6" s="68"/>
      <c r="AC6" s="68"/>
      <c r="AD6" s="68"/>
      <c r="AE6" s="68"/>
      <c r="AF6" s="68"/>
      <c r="AG6" s="68"/>
      <c r="AH6" s="68"/>
      <c r="AI6" s="68"/>
      <c r="AJ6" s="68"/>
      <c r="AK6" s="68"/>
      <c r="AL6" s="68"/>
      <c r="AM6" s="68"/>
      <c r="AN6" s="68"/>
      <c r="AO6" s="68"/>
      <c r="AP6" s="68"/>
      <c r="AQ6" s="68"/>
      <c r="AR6" s="68"/>
      <c r="AS6" s="68"/>
      <c r="AT6" s="68"/>
      <c r="AU6" s="68"/>
      <c r="AV6" s="68"/>
      <c r="AW6" s="68"/>
      <c r="AX6" s="68"/>
      <c r="AY6" s="68"/>
      <c r="AZ6" s="68"/>
      <c r="BA6" s="68"/>
      <c r="BB6" s="68"/>
      <c r="BC6" s="68"/>
      <c r="BD6" s="68"/>
      <c r="BE6" s="68"/>
      <c r="BF6" s="68"/>
      <c r="BG6" s="68"/>
      <c r="BH6" s="68"/>
      <c r="BI6" s="68"/>
      <c r="BJ6" s="68"/>
      <c r="BK6" s="68"/>
      <c r="BL6" s="68"/>
      <c r="BM6" s="68"/>
      <c r="BN6" s="68"/>
      <c r="BO6" s="68"/>
    </row>
    <row r="7" spans="1:68" ht="15" x14ac:dyDescent="0.25">
      <c r="A7" s="83"/>
      <c r="B7" s="83"/>
      <c r="C7" s="83"/>
      <c r="D7" s="83"/>
      <c r="E7" s="83" t="s">
        <v>233</v>
      </c>
      <c r="F7" s="83"/>
      <c r="G7" s="83"/>
      <c r="H7" s="83"/>
      <c r="I7" s="83"/>
      <c r="J7" s="83"/>
      <c r="K7" s="83"/>
      <c r="L7" s="83"/>
      <c r="M7" s="83"/>
      <c r="N7" s="83"/>
      <c r="O7" s="83"/>
      <c r="P7" s="83"/>
      <c r="Q7" s="83"/>
      <c r="R7" s="83"/>
      <c r="S7" s="83"/>
      <c r="T7" s="83"/>
      <c r="U7" s="83"/>
      <c r="V7" s="83"/>
      <c r="W7" s="83"/>
      <c r="X7" s="83"/>
      <c r="Y7" s="83"/>
      <c r="Z7" s="83"/>
      <c r="AA7" s="83"/>
      <c r="AB7" s="83"/>
      <c r="AC7" s="83"/>
      <c r="AD7" s="83"/>
      <c r="AE7" s="83"/>
      <c r="AF7" s="83"/>
      <c r="AG7" s="83"/>
      <c r="AH7" s="83"/>
      <c r="AI7" s="83"/>
      <c r="AJ7" s="83"/>
      <c r="AK7" s="83"/>
      <c r="AL7" s="83"/>
      <c r="AM7" s="83"/>
      <c r="AN7" s="83"/>
      <c r="AO7" s="83"/>
      <c r="AP7" s="83"/>
      <c r="AQ7" s="83"/>
      <c r="AR7" s="83"/>
      <c r="AS7" s="83"/>
      <c r="AT7" s="83"/>
      <c r="AU7" s="83"/>
      <c r="AV7" s="83"/>
      <c r="AW7" s="83"/>
      <c r="AX7" s="83"/>
      <c r="AY7" s="83"/>
      <c r="AZ7" s="83"/>
      <c r="BA7" s="83"/>
      <c r="BB7" s="83"/>
      <c r="BC7" s="83"/>
      <c r="BD7" s="83"/>
      <c r="BE7" s="83"/>
      <c r="BF7" s="83"/>
      <c r="BG7" s="83"/>
      <c r="BH7" s="83"/>
      <c r="BI7" s="83"/>
      <c r="BJ7" s="83"/>
      <c r="BK7" s="83"/>
      <c r="BL7" s="83"/>
      <c r="BM7" s="83"/>
      <c r="BN7" s="83"/>
      <c r="BO7" s="83"/>
    </row>
    <row r="8" spans="1:68" ht="15" x14ac:dyDescent="0.25">
      <c r="E8" s="1" t="s">
        <v>234</v>
      </c>
      <c r="G8" s="109" t="s">
        <v>235</v>
      </c>
      <c r="H8" s="23" t="s">
        <v>236</v>
      </c>
      <c r="I8" s="51" t="s">
        <v>237</v>
      </c>
      <c r="J8" s="3"/>
    </row>
    <row r="9" spans="1:68" ht="15" x14ac:dyDescent="0.25">
      <c r="E9" s="1" t="s">
        <v>238</v>
      </c>
      <c r="G9" s="109" t="s">
        <v>239</v>
      </c>
      <c r="H9" s="24">
        <f ca="1">DATE(YEAR(NOW())+1,1,1)</f>
        <v>46388</v>
      </c>
      <c r="I9" s="51" t="s">
        <v>240</v>
      </c>
      <c r="J9" s="3"/>
    </row>
    <row r="10" spans="1:68" ht="15" x14ac:dyDescent="0.25">
      <c r="E10" s="1" t="s">
        <v>241</v>
      </c>
      <c r="G10" s="109" t="s">
        <v>242</v>
      </c>
      <c r="H10" s="25">
        <v>0.3</v>
      </c>
      <c r="I10" s="51" t="s">
        <v>243</v>
      </c>
      <c r="J10" s="3"/>
      <c r="M10" s="4" t="s">
        <v>244</v>
      </c>
    </row>
    <row r="11" spans="1:68" ht="15" x14ac:dyDescent="0.25">
      <c r="E11" s="1" t="s">
        <v>245</v>
      </c>
      <c r="G11" s="109" t="s">
        <v>246</v>
      </c>
      <c r="H11" s="25" t="s">
        <v>247</v>
      </c>
      <c r="I11" s="5"/>
      <c r="J11" s="3"/>
      <c r="K11" s="2"/>
      <c r="M11" s="8" t="s">
        <v>248</v>
      </c>
      <c r="N11" s="8" t="s">
        <v>243</v>
      </c>
    </row>
    <row r="12" spans="1:68" ht="15" x14ac:dyDescent="0.25">
      <c r="E12" s="1" t="s">
        <v>249</v>
      </c>
      <c r="G12" s="109" t="s">
        <v>250</v>
      </c>
      <c r="H12" s="25" t="s">
        <v>251</v>
      </c>
      <c r="J12" s="3"/>
      <c r="K12" s="2"/>
      <c r="M12" s="8">
        <v>0</v>
      </c>
      <c r="N12" s="65">
        <v>0.6</v>
      </c>
    </row>
    <row r="13" spans="1:68" ht="15" x14ac:dyDescent="0.25">
      <c r="E13" s="1" t="s">
        <v>252</v>
      </c>
      <c r="G13" s="109" t="s">
        <v>253</v>
      </c>
      <c r="H13" s="26" t="str">
        <f ca="1">AssmModelName&amp;" ("&amp;AssmBusinessCase&amp;")"&amp;IF(ErrChkOverall,""," errors exist")</f>
        <v>Growth Startup (High)</v>
      </c>
      <c r="J13" s="3"/>
      <c r="K13" s="2"/>
      <c r="M13" s="8">
        <v>1</v>
      </c>
      <c r="N13" s="65">
        <v>0.2</v>
      </c>
    </row>
    <row r="14" spans="1:68" ht="15" x14ac:dyDescent="0.25">
      <c r="E14" s="1" t="s">
        <v>110</v>
      </c>
      <c r="G14" s="109" t="s">
        <v>254</v>
      </c>
      <c r="H14" s="23">
        <v>600</v>
      </c>
      <c r="I14" s="1" t="s">
        <v>255</v>
      </c>
      <c r="J14" s="3"/>
      <c r="K14" s="2"/>
      <c r="M14" s="8">
        <v>2</v>
      </c>
      <c r="N14" s="65">
        <v>0.1</v>
      </c>
    </row>
    <row r="15" spans="1:68" ht="15" x14ac:dyDescent="0.25">
      <c r="E15" s="1" t="s">
        <v>111</v>
      </c>
      <c r="G15" s="109" t="s">
        <v>256</v>
      </c>
      <c r="H15" s="23">
        <v>200</v>
      </c>
      <c r="I15" s="1" t="s">
        <v>257</v>
      </c>
      <c r="J15" s="3"/>
      <c r="K15" s="2"/>
      <c r="M15" s="8">
        <v>3</v>
      </c>
      <c r="N15" s="66">
        <f>1-SUM(N12:N14)</f>
        <v>9.9999999999999978E-2</v>
      </c>
    </row>
    <row r="16" spans="1:68" ht="15" x14ac:dyDescent="0.25">
      <c r="E16" s="1" t="s">
        <v>112</v>
      </c>
      <c r="G16" s="109" t="s">
        <v>258</v>
      </c>
      <c r="H16" s="23">
        <v>200</v>
      </c>
      <c r="I16" s="1" t="s">
        <v>257</v>
      </c>
      <c r="J16" s="3"/>
      <c r="K16" s="2"/>
    </row>
    <row r="17" spans="5:14" ht="15" x14ac:dyDescent="0.25">
      <c r="E17" s="1" t="s">
        <v>113</v>
      </c>
      <c r="G17" s="109" t="s">
        <v>259</v>
      </c>
      <c r="H17" s="25">
        <v>0.02</v>
      </c>
      <c r="I17" s="1" t="s">
        <v>260</v>
      </c>
      <c r="J17" s="3"/>
      <c r="K17" s="2"/>
      <c r="M17" s="4" t="s">
        <v>261</v>
      </c>
    </row>
    <row r="18" spans="5:14" ht="15" x14ac:dyDescent="0.25">
      <c r="E18" s="1" t="s">
        <v>114</v>
      </c>
      <c r="G18" s="109" t="s">
        <v>262</v>
      </c>
      <c r="H18" s="23">
        <v>300</v>
      </c>
      <c r="I18" s="1" t="s">
        <v>257</v>
      </c>
      <c r="J18" s="3"/>
      <c r="K18" s="2"/>
      <c r="M18" s="8" t="s">
        <v>248</v>
      </c>
      <c r="N18" s="8" t="s">
        <v>243</v>
      </c>
    </row>
    <row r="19" spans="5:14" ht="15" x14ac:dyDescent="0.25">
      <c r="E19" s="1" t="s">
        <v>115</v>
      </c>
      <c r="G19" s="109" t="s">
        <v>263</v>
      </c>
      <c r="H19" s="23">
        <v>100</v>
      </c>
      <c r="I19" s="1" t="s">
        <v>264</v>
      </c>
      <c r="J19" s="3"/>
      <c r="K19" s="2"/>
      <c r="M19" s="8">
        <v>0</v>
      </c>
      <c r="N19" s="65">
        <v>0.1</v>
      </c>
    </row>
    <row r="20" spans="5:14" ht="15" x14ac:dyDescent="0.25">
      <c r="E20" s="1" t="s">
        <v>116</v>
      </c>
      <c r="G20" s="109" t="s">
        <v>265</v>
      </c>
      <c r="H20" s="23">
        <v>50</v>
      </c>
      <c r="I20" s="1" t="s">
        <v>264</v>
      </c>
      <c r="J20" s="3"/>
      <c r="K20" s="2"/>
      <c r="M20" s="8">
        <v>1</v>
      </c>
      <c r="N20" s="65">
        <v>0.8</v>
      </c>
    </row>
    <row r="21" spans="5:14" ht="15" x14ac:dyDescent="0.25">
      <c r="E21" s="1" t="s">
        <v>117</v>
      </c>
      <c r="G21" s="109" t="s">
        <v>266</v>
      </c>
      <c r="H21" s="25">
        <v>0.1</v>
      </c>
      <c r="I21" s="1" t="s">
        <v>267</v>
      </c>
      <c r="J21" s="3"/>
      <c r="K21" s="2"/>
      <c r="M21" s="8">
        <v>2</v>
      </c>
      <c r="N21" s="65">
        <v>0.1</v>
      </c>
    </row>
    <row r="22" spans="5:14" ht="15" x14ac:dyDescent="0.25">
      <c r="E22" s="1" t="s">
        <v>268</v>
      </c>
      <c r="G22" s="109" t="s">
        <v>269</v>
      </c>
      <c r="H22" s="54">
        <v>3.5000000000000003E-2</v>
      </c>
      <c r="I22" s="1" t="s">
        <v>270</v>
      </c>
      <c r="J22" s="3"/>
      <c r="K22" s="2"/>
      <c r="M22" s="8">
        <v>3</v>
      </c>
      <c r="N22" s="66">
        <f>1-SUM(N19:N21)</f>
        <v>0</v>
      </c>
    </row>
    <row r="23" spans="5:14" ht="15" x14ac:dyDescent="0.25">
      <c r="E23" s="1" t="s">
        <v>271</v>
      </c>
      <c r="G23" s="109" t="s">
        <v>272</v>
      </c>
      <c r="H23" s="56">
        <v>2000</v>
      </c>
      <c r="I23" s="1" t="s">
        <v>273</v>
      </c>
      <c r="J23" s="3"/>
      <c r="K23" s="2"/>
    </row>
    <row r="24" spans="5:14" ht="15" x14ac:dyDescent="0.25">
      <c r="E24" s="1" t="s">
        <v>274</v>
      </c>
      <c r="G24" s="109" t="s">
        <v>275</v>
      </c>
      <c r="H24" s="23">
        <v>24</v>
      </c>
      <c r="I24" s="1" t="s">
        <v>276</v>
      </c>
      <c r="J24" s="3"/>
      <c r="K24" s="2"/>
    </row>
    <row r="25" spans="5:14" ht="15" x14ac:dyDescent="0.25">
      <c r="E25" s="1" t="s">
        <v>277</v>
      </c>
      <c r="G25" s="109" t="s">
        <v>278</v>
      </c>
      <c r="H25" s="56">
        <v>1000000</v>
      </c>
      <c r="J25" s="3"/>
      <c r="K25" s="2"/>
    </row>
    <row r="26" spans="5:14" ht="15" x14ac:dyDescent="0.25">
      <c r="E26" s="1" t="s">
        <v>279</v>
      </c>
      <c r="G26" s="109" t="s">
        <v>280</v>
      </c>
      <c r="H26" s="23">
        <v>36</v>
      </c>
      <c r="I26" s="1" t="s">
        <v>276</v>
      </c>
      <c r="J26" s="3"/>
      <c r="K26" s="2"/>
    </row>
    <row r="27" spans="5:14" ht="15" x14ac:dyDescent="0.25">
      <c r="E27" s="1" t="s">
        <v>281</v>
      </c>
      <c r="G27" s="109" t="s">
        <v>282</v>
      </c>
      <c r="H27" s="56">
        <v>800000</v>
      </c>
      <c r="J27" s="3"/>
      <c r="K27" s="2"/>
    </row>
    <row r="28" spans="5:14" ht="15" x14ac:dyDescent="0.25">
      <c r="E28" s="1" t="s">
        <v>283</v>
      </c>
      <c r="G28" s="109" t="s">
        <v>284</v>
      </c>
      <c r="H28" s="54">
        <v>0.05</v>
      </c>
      <c r="I28" s="1" t="s">
        <v>270</v>
      </c>
      <c r="J28" s="3"/>
      <c r="K28" s="2"/>
    </row>
    <row r="29" spans="5:14" ht="15" x14ac:dyDescent="0.25">
      <c r="E29" s="1" t="s">
        <v>285</v>
      </c>
      <c r="G29" s="109" t="s">
        <v>286</v>
      </c>
      <c r="H29" s="58">
        <f ca="1">EOMONTH(AssmStartDate,2)</f>
        <v>46477</v>
      </c>
      <c r="I29" s="1" t="s">
        <v>287</v>
      </c>
      <c r="J29" s="3"/>
      <c r="K29" s="2"/>
    </row>
    <row r="30" spans="5:14" ht="15" x14ac:dyDescent="0.25">
      <c r="E30" s="1" t="s">
        <v>221</v>
      </c>
      <c r="G30" s="109" t="s">
        <v>288</v>
      </c>
      <c r="H30" s="56">
        <v>1000000</v>
      </c>
      <c r="J30" s="3"/>
      <c r="K30" s="2"/>
    </row>
    <row r="31" spans="5:14" ht="15" x14ac:dyDescent="0.25">
      <c r="E31" s="1" t="s">
        <v>289</v>
      </c>
      <c r="G31" s="109" t="s">
        <v>290</v>
      </c>
      <c r="H31" s="58">
        <f ca="1">EOMONTH(AssmStartDate,0)</f>
        <v>46418</v>
      </c>
      <c r="J31" s="3"/>
      <c r="K31" s="2"/>
    </row>
    <row r="32" spans="5:14" ht="15" x14ac:dyDescent="0.25">
      <c r="E32" s="1" t="s">
        <v>44</v>
      </c>
      <c r="G32" s="109" t="s">
        <v>291</v>
      </c>
      <c r="H32" s="25">
        <v>0.1</v>
      </c>
      <c r="J32" s="3"/>
      <c r="K32" s="2"/>
    </row>
    <row r="33" spans="1:67" ht="15" x14ac:dyDescent="0.25">
      <c r="E33" s="1" t="s">
        <v>292</v>
      </c>
      <c r="G33" s="109" t="s">
        <v>293</v>
      </c>
      <c r="H33" s="25">
        <v>0.02</v>
      </c>
      <c r="J33" s="3"/>
      <c r="K33" s="2"/>
    </row>
    <row r="35" spans="1:67" ht="15.75" thickBot="1" x14ac:dyDescent="0.3">
      <c r="A35" s="68"/>
      <c r="B35" s="68"/>
      <c r="C35" s="68"/>
      <c r="D35" s="68" t="s">
        <v>294</v>
      </c>
      <c r="E35" s="68"/>
      <c r="F35" s="68"/>
      <c r="G35" s="68"/>
      <c r="H35" s="68"/>
      <c r="I35" s="68"/>
      <c r="J35" s="68"/>
      <c r="K35" s="68"/>
      <c r="L35" s="68"/>
      <c r="M35" s="68"/>
      <c r="N35" s="68"/>
      <c r="O35" s="68"/>
      <c r="P35" s="68"/>
      <c r="Q35" s="68"/>
      <c r="R35" s="68"/>
      <c r="S35" s="68"/>
      <c r="T35" s="68"/>
      <c r="U35" s="68"/>
      <c r="V35" s="68"/>
      <c r="W35" s="68"/>
      <c r="X35" s="68"/>
      <c r="Y35" s="68"/>
      <c r="Z35" s="68"/>
      <c r="AA35" s="68"/>
      <c r="AB35" s="68"/>
      <c r="AC35" s="68"/>
      <c r="AD35" s="68"/>
      <c r="AE35" s="68"/>
      <c r="AF35" s="68"/>
      <c r="AG35" s="68"/>
      <c r="AH35" s="68"/>
      <c r="AI35" s="68"/>
      <c r="AJ35" s="68"/>
      <c r="AK35" s="68"/>
      <c r="AL35" s="68"/>
      <c r="AM35" s="68"/>
      <c r="AN35" s="68"/>
      <c r="AO35" s="68"/>
      <c r="AP35" s="68"/>
      <c r="AQ35" s="68"/>
      <c r="AR35" s="68"/>
      <c r="AS35" s="68"/>
      <c r="AT35" s="68"/>
      <c r="AU35" s="68"/>
      <c r="AV35" s="68"/>
      <c r="AW35" s="68"/>
      <c r="AX35" s="68"/>
      <c r="AY35" s="68"/>
      <c r="AZ35" s="68"/>
      <c r="BA35" s="68"/>
      <c r="BB35" s="68"/>
      <c r="BC35" s="68"/>
      <c r="BD35" s="68"/>
      <c r="BE35" s="68"/>
      <c r="BF35" s="68"/>
      <c r="BG35" s="68"/>
      <c r="BH35" s="68"/>
      <c r="BI35" s="68"/>
      <c r="BJ35" s="68"/>
      <c r="BK35" s="68"/>
      <c r="BL35" s="68"/>
      <c r="BM35" s="68"/>
      <c r="BN35" s="68"/>
      <c r="BO35" s="68"/>
    </row>
    <row r="36" spans="1:67" ht="15" x14ac:dyDescent="0.25">
      <c r="A36" s="83"/>
      <c r="B36" s="83"/>
      <c r="C36" s="83"/>
      <c r="D36" s="83"/>
      <c r="E36" s="83" t="s">
        <v>295</v>
      </c>
      <c r="F36" s="83"/>
      <c r="G36" s="83"/>
      <c r="H36" s="83"/>
      <c r="I36" s="83"/>
      <c r="J36" s="83"/>
      <c r="K36" s="83"/>
      <c r="L36" s="83"/>
      <c r="M36" s="83"/>
      <c r="N36" s="83"/>
      <c r="O36" s="83"/>
      <c r="P36" s="83"/>
      <c r="Q36" s="83"/>
      <c r="R36" s="83"/>
      <c r="S36" s="83"/>
      <c r="T36" s="83"/>
      <c r="U36" s="83"/>
      <c r="V36" s="83"/>
      <c r="W36" s="83"/>
      <c r="X36" s="83"/>
      <c r="Y36" s="83"/>
      <c r="Z36" s="83"/>
      <c r="AA36" s="83"/>
      <c r="AB36" s="83"/>
      <c r="AC36" s="83"/>
      <c r="AD36" s="83"/>
      <c r="AE36" s="83"/>
      <c r="AF36" s="83"/>
      <c r="AG36" s="83"/>
      <c r="AH36" s="83"/>
      <c r="AI36" s="83"/>
      <c r="AJ36" s="83"/>
      <c r="AK36" s="83"/>
      <c r="AL36" s="83"/>
      <c r="AM36" s="83"/>
      <c r="AN36" s="83"/>
      <c r="AO36" s="83"/>
      <c r="AP36" s="83"/>
      <c r="AQ36" s="83"/>
      <c r="AR36" s="83"/>
      <c r="AS36" s="83"/>
      <c r="AT36" s="83"/>
      <c r="AU36" s="83"/>
      <c r="AV36" s="83"/>
      <c r="AW36" s="83"/>
      <c r="AX36" s="83"/>
      <c r="AY36" s="83"/>
      <c r="AZ36" s="83"/>
      <c r="BA36" s="83"/>
      <c r="BB36" s="83"/>
      <c r="BC36" s="83"/>
      <c r="BD36" s="83"/>
      <c r="BE36" s="83"/>
      <c r="BF36" s="83"/>
      <c r="BG36" s="83"/>
      <c r="BH36" s="83"/>
      <c r="BI36" s="83"/>
      <c r="BJ36" s="83"/>
      <c r="BK36" s="83"/>
      <c r="BL36" s="83"/>
      <c r="BM36" s="83"/>
      <c r="BN36" s="83"/>
      <c r="BO36" s="83"/>
    </row>
    <row r="37" spans="1:67" x14ac:dyDescent="0.2">
      <c r="F37" s="15" t="s">
        <v>296</v>
      </c>
      <c r="I37" s="4" t="s">
        <v>297</v>
      </c>
    </row>
    <row r="38" spans="1:67" x14ac:dyDescent="0.2">
      <c r="F38" s="5" t="s">
        <v>298</v>
      </c>
      <c r="G38" s="5" t="s">
        <v>299</v>
      </c>
      <c r="H38" s="5" t="s">
        <v>300</v>
      </c>
      <c r="I38" s="8" t="s">
        <v>301</v>
      </c>
      <c r="J38" s="8" t="s">
        <v>302</v>
      </c>
      <c r="K38" s="8" t="s">
        <v>303</v>
      </c>
      <c r="L38" s="8" t="s">
        <v>304</v>
      </c>
      <c r="M38" s="8" t="s">
        <v>305</v>
      </c>
    </row>
    <row r="39" spans="1:67" ht="15" x14ac:dyDescent="0.25">
      <c r="F39" s="1" t="s">
        <v>306</v>
      </c>
      <c r="G39" s="1" t="s">
        <v>68</v>
      </c>
      <c r="H39" s="16" t="str">
        <f>INDEX(tblInputType[Description],MATCH(tblAnnualAssm[[#This Row],[Input Type]],tblInputType[Input Type],0))</f>
        <v>Customer # Growth Rate per Mth</v>
      </c>
      <c r="I39" s="19">
        <v>0.2</v>
      </c>
      <c r="J39" s="19">
        <v>0.2</v>
      </c>
      <c r="K39" s="19">
        <v>0.1</v>
      </c>
      <c r="L39" s="19">
        <v>0.05</v>
      </c>
      <c r="M39" s="19">
        <v>0.05</v>
      </c>
    </row>
    <row r="40" spans="1:67" ht="15" x14ac:dyDescent="0.25">
      <c r="F40" s="1" t="s">
        <v>307</v>
      </c>
      <c r="G40" s="1" t="s">
        <v>68</v>
      </c>
      <c r="H40" s="16" t="str">
        <f>INDEX(tblInputType[Description],MATCH(tblAnnualAssm[[#This Row],[Input Type]],tblInputType[Input Type],0))</f>
        <v>Customer # Growth Rate per Mth</v>
      </c>
      <c r="I40" s="19">
        <v>0.2</v>
      </c>
      <c r="J40" s="19">
        <v>0.25</v>
      </c>
      <c r="K40" s="19">
        <v>0.2</v>
      </c>
      <c r="L40" s="19">
        <v>0.1</v>
      </c>
      <c r="M40" s="19">
        <v>0.1</v>
      </c>
    </row>
    <row r="41" spans="1:67" ht="15" x14ac:dyDescent="0.25">
      <c r="F41" s="1" t="s">
        <v>247</v>
      </c>
      <c r="G41" s="1" t="s">
        <v>68</v>
      </c>
      <c r="H41" s="16" t="str">
        <f>INDEX(tblInputType[Description],MATCH(tblAnnualAssm[[#This Row],[Input Type]],tblInputType[Input Type],0))</f>
        <v>Customer # Growth Rate per Mth</v>
      </c>
      <c r="I41" s="19">
        <v>0.3</v>
      </c>
      <c r="J41" s="19">
        <v>0.3</v>
      </c>
      <c r="K41" s="19">
        <v>0.1</v>
      </c>
      <c r="L41" s="19">
        <v>0.1</v>
      </c>
      <c r="M41" s="19">
        <v>0.1</v>
      </c>
    </row>
    <row r="42" spans="1:67" ht="15" x14ac:dyDescent="0.25">
      <c r="F42" s="1" t="s">
        <v>306</v>
      </c>
      <c r="G42" s="1" t="s">
        <v>70</v>
      </c>
      <c r="H42" s="16" t="str">
        <f>INDEX(tblInputType[Description],MATCH(tblAnnualAssm[[#This Row],[Input Type]],tblInputType[Input Type],0))</f>
        <v>Attrition rate per year</v>
      </c>
      <c r="I42" s="19">
        <v>0.01</v>
      </c>
      <c r="J42" s="19">
        <v>0.01</v>
      </c>
      <c r="K42" s="19">
        <v>0.01</v>
      </c>
      <c r="L42" s="19">
        <v>0.01</v>
      </c>
      <c r="M42" s="19">
        <v>0.01</v>
      </c>
    </row>
    <row r="43" spans="1:67" ht="15" x14ac:dyDescent="0.25">
      <c r="F43" s="1" t="s">
        <v>307</v>
      </c>
      <c r="G43" s="1" t="s">
        <v>70</v>
      </c>
      <c r="H43" s="16" t="str">
        <f>INDEX(tblInputType[Description],MATCH(tblAnnualAssm[[#This Row],[Input Type]],tblInputType[Input Type],0))</f>
        <v>Attrition rate per year</v>
      </c>
      <c r="I43" s="19">
        <v>7.4999999999999997E-3</v>
      </c>
      <c r="J43" s="19">
        <v>7.4999999999999997E-3</v>
      </c>
      <c r="K43" s="19">
        <v>5.0000000000000001E-3</v>
      </c>
      <c r="L43" s="19">
        <v>5.0000000000000001E-3</v>
      </c>
      <c r="M43" s="19">
        <v>5.0000000000000001E-3</v>
      </c>
    </row>
    <row r="44" spans="1:67" ht="15" x14ac:dyDescent="0.25">
      <c r="F44" s="1" t="s">
        <v>247</v>
      </c>
      <c r="G44" s="1" t="s">
        <v>70</v>
      </c>
      <c r="H44" s="16" t="str">
        <f>INDEX(tblInputType[Description],MATCH(tblAnnualAssm[[#This Row],[Input Type]],tblInputType[Input Type],0))</f>
        <v>Attrition rate per year</v>
      </c>
      <c r="I44" s="19">
        <v>2.5000000000000001E-3</v>
      </c>
      <c r="J44" s="19">
        <v>1.5E-3</v>
      </c>
      <c r="K44" s="19">
        <v>1.5E-3</v>
      </c>
      <c r="L44" s="19">
        <v>1E-3</v>
      </c>
      <c r="M44" s="19">
        <v>1E-3</v>
      </c>
    </row>
    <row r="45" spans="1:67" ht="15" x14ac:dyDescent="0.25">
      <c r="F45" s="1" t="s">
        <v>306</v>
      </c>
      <c r="G45" s="1" t="s">
        <v>77</v>
      </c>
      <c r="H45" s="16" t="str">
        <f>INDEX(tblInputType[Description],MATCH(tblAnnualAssm[[#This Row],[Input Type]],tblInputType[Input Type],0))</f>
        <v>$/month</v>
      </c>
      <c r="I45" s="20">
        <v>20</v>
      </c>
      <c r="J45" s="20">
        <v>20</v>
      </c>
      <c r="K45" s="20">
        <v>19</v>
      </c>
      <c r="L45" s="20">
        <v>17</v>
      </c>
      <c r="M45" s="20">
        <v>15</v>
      </c>
    </row>
    <row r="46" spans="1:67" ht="15" x14ac:dyDescent="0.25">
      <c r="F46" s="1" t="s">
        <v>307</v>
      </c>
      <c r="G46" s="1" t="s">
        <v>77</v>
      </c>
      <c r="H46" s="16" t="str">
        <f>INDEX(tblInputType[Description],MATCH(tblAnnualAssm[[#This Row],[Input Type]],tblInputType[Input Type],0))</f>
        <v>$/month</v>
      </c>
      <c r="I46" s="20">
        <v>20</v>
      </c>
      <c r="J46" s="20">
        <v>20</v>
      </c>
      <c r="K46" s="20">
        <v>20</v>
      </c>
      <c r="L46" s="20">
        <v>20</v>
      </c>
      <c r="M46" s="20">
        <v>20</v>
      </c>
    </row>
    <row r="47" spans="1:67" ht="15" x14ac:dyDescent="0.25">
      <c r="F47" s="1" t="s">
        <v>247</v>
      </c>
      <c r="G47" s="1" t="s">
        <v>77</v>
      </c>
      <c r="H47" s="16" t="str">
        <f>INDEX(tblInputType[Description],MATCH(tblAnnualAssm[[#This Row],[Input Type]],tblInputType[Input Type],0))</f>
        <v>$/month</v>
      </c>
      <c r="I47" s="20">
        <v>20</v>
      </c>
      <c r="J47" s="20">
        <v>20</v>
      </c>
      <c r="K47" s="20">
        <v>25</v>
      </c>
      <c r="L47" s="20">
        <v>25</v>
      </c>
      <c r="M47" s="20">
        <v>30</v>
      </c>
    </row>
    <row r="48" spans="1:67" ht="15" x14ac:dyDescent="0.25">
      <c r="F48" s="1" t="s">
        <v>306</v>
      </c>
      <c r="G48" s="1" t="s">
        <v>92</v>
      </c>
      <c r="H48" s="16" t="str">
        <f>INDEX(tblInputType[Description],MATCH(tblAnnualAssm[[#This Row],[Input Type]],tblInputType[Input Type],0))</f>
        <v>% of Sales</v>
      </c>
      <c r="I48" s="19">
        <v>0.2</v>
      </c>
      <c r="J48" s="19">
        <v>0.1</v>
      </c>
      <c r="K48" s="19">
        <v>0.1</v>
      </c>
      <c r="L48" s="19">
        <v>0.05</v>
      </c>
      <c r="M48" s="19">
        <v>0.05</v>
      </c>
    </row>
    <row r="49" spans="1:70" ht="15" x14ac:dyDescent="0.25">
      <c r="F49" s="1" t="s">
        <v>307</v>
      </c>
      <c r="G49" s="1" t="s">
        <v>92</v>
      </c>
      <c r="H49" s="16" t="str">
        <f>INDEX(tblInputType[Description],MATCH(tblAnnualAssm[[#This Row],[Input Type]],tblInputType[Input Type],0))</f>
        <v>% of Sales</v>
      </c>
      <c r="I49" s="19">
        <v>0.2</v>
      </c>
      <c r="J49" s="19">
        <v>0.15</v>
      </c>
      <c r="K49" s="19">
        <v>0.15</v>
      </c>
      <c r="L49" s="19">
        <v>0.1</v>
      </c>
      <c r="M49" s="19">
        <v>0.1</v>
      </c>
    </row>
    <row r="50" spans="1:70" ht="15" x14ac:dyDescent="0.25">
      <c r="F50" s="1" t="s">
        <v>247</v>
      </c>
      <c r="G50" s="1" t="s">
        <v>92</v>
      </c>
      <c r="H50" s="16" t="str">
        <f>INDEX(tblInputType[Description],MATCH(tblAnnualAssm[[#This Row],[Input Type]],tblInputType[Input Type],0))</f>
        <v>% of Sales</v>
      </c>
      <c r="I50" s="19">
        <v>0.3</v>
      </c>
      <c r="J50" s="19">
        <v>0.3</v>
      </c>
      <c r="K50" s="19">
        <v>0.1</v>
      </c>
      <c r="L50" s="19">
        <v>0.1</v>
      </c>
      <c r="M50" s="19">
        <v>0.1</v>
      </c>
    </row>
    <row r="51" spans="1:70" ht="15" x14ac:dyDescent="0.25">
      <c r="F51" s="1" t="s">
        <v>306</v>
      </c>
      <c r="G51" s="1" t="s">
        <v>105</v>
      </c>
      <c r="H51" s="16" t="str">
        <f>INDEX(tblInputType[Description],MATCH(tblAnnualAssm[[#This Row],[Input Type]],tblInputType[Input Type],0))</f>
        <v>Rent per person per mth</v>
      </c>
      <c r="I51" s="29">
        <v>600</v>
      </c>
      <c r="J51" s="29">
        <v>600</v>
      </c>
      <c r="K51" s="29">
        <v>700</v>
      </c>
      <c r="L51" s="29">
        <v>700</v>
      </c>
      <c r="M51" s="29">
        <v>700</v>
      </c>
    </row>
    <row r="52" spans="1:70" ht="15" x14ac:dyDescent="0.25">
      <c r="F52" s="1" t="s">
        <v>307</v>
      </c>
      <c r="G52" s="1" t="s">
        <v>105</v>
      </c>
      <c r="H52" s="16" t="str">
        <f>INDEX(tblInputType[Description],MATCH(tblAnnualAssm[[#This Row],[Input Type]],tblInputType[Input Type],0))</f>
        <v>Rent per person per mth</v>
      </c>
      <c r="I52" s="29">
        <v>600</v>
      </c>
      <c r="J52" s="29">
        <v>600</v>
      </c>
      <c r="K52" s="29">
        <v>700</v>
      </c>
      <c r="L52" s="29">
        <v>700</v>
      </c>
      <c r="M52" s="29">
        <v>700</v>
      </c>
    </row>
    <row r="53" spans="1:70" ht="15" x14ac:dyDescent="0.25">
      <c r="F53" s="1" t="s">
        <v>247</v>
      </c>
      <c r="G53" s="1" t="s">
        <v>105</v>
      </c>
      <c r="H53" s="16" t="str">
        <f>INDEX(tblInputType[Description],MATCH(tblAnnualAssm[[#This Row],[Input Type]],tblInputType[Input Type],0))</f>
        <v>Rent per person per mth</v>
      </c>
      <c r="I53" s="29">
        <v>600</v>
      </c>
      <c r="J53" s="29">
        <v>600</v>
      </c>
      <c r="K53" s="29">
        <v>700</v>
      </c>
      <c r="L53" s="29">
        <v>700</v>
      </c>
      <c r="M53" s="29">
        <v>700</v>
      </c>
    </row>
    <row r="56" spans="1:70" ht="15.75" thickBot="1" x14ac:dyDescent="0.3">
      <c r="A56" s="68"/>
      <c r="B56" s="68"/>
      <c r="C56" s="68"/>
      <c r="D56" s="68" t="s">
        <v>308</v>
      </c>
      <c r="E56" s="68"/>
      <c r="F56" s="68"/>
      <c r="G56" s="68"/>
      <c r="H56" s="68"/>
      <c r="I56" s="68"/>
      <c r="J56" s="68"/>
      <c r="K56" s="68"/>
      <c r="L56" s="68"/>
      <c r="M56" s="68"/>
      <c r="N56" s="68"/>
      <c r="O56" s="68"/>
      <c r="P56" s="68"/>
      <c r="Q56" s="68"/>
      <c r="R56" s="68"/>
      <c r="S56" s="68"/>
      <c r="T56" s="68"/>
      <c r="U56" s="68"/>
      <c r="V56" s="68"/>
      <c r="W56" s="68"/>
      <c r="X56" s="68"/>
      <c r="Y56" s="68"/>
      <c r="Z56" s="68"/>
      <c r="AA56" s="68"/>
      <c r="AB56" s="68"/>
      <c r="AC56" s="68"/>
      <c r="AD56" s="68"/>
      <c r="AE56" s="68"/>
      <c r="AF56" s="68"/>
      <c r="AG56" s="68"/>
      <c r="AH56" s="68"/>
      <c r="AI56" s="68"/>
      <c r="AJ56" s="68"/>
      <c r="AK56" s="68"/>
      <c r="AL56" s="68"/>
      <c r="AM56" s="68"/>
      <c r="AN56" s="68"/>
      <c r="AO56" s="68"/>
      <c r="AP56" s="68"/>
      <c r="AQ56" s="68"/>
      <c r="AR56" s="68"/>
      <c r="AS56" s="68"/>
      <c r="AT56" s="68"/>
      <c r="AU56" s="68"/>
      <c r="AV56" s="68"/>
      <c r="AW56" s="68"/>
      <c r="AX56" s="68"/>
      <c r="AY56" s="68"/>
      <c r="AZ56" s="68"/>
      <c r="BA56" s="68"/>
      <c r="BB56" s="68"/>
      <c r="BC56" s="68"/>
      <c r="BD56" s="68"/>
      <c r="BE56" s="68"/>
      <c r="BF56" s="68"/>
      <c r="BG56" s="68"/>
      <c r="BH56" s="68"/>
      <c r="BI56" s="68"/>
      <c r="BJ56" s="68"/>
      <c r="BK56" s="68"/>
      <c r="BL56" s="68"/>
      <c r="BM56" s="68"/>
      <c r="BN56" s="68"/>
      <c r="BO56" s="68"/>
    </row>
    <row r="57" spans="1:70" ht="15" x14ac:dyDescent="0.25">
      <c r="A57" s="83"/>
      <c r="B57" s="83"/>
      <c r="C57" s="83"/>
      <c r="D57" s="83"/>
      <c r="E57" s="83" t="s">
        <v>309</v>
      </c>
      <c r="F57" s="83"/>
      <c r="G57" s="83"/>
      <c r="H57" s="83"/>
      <c r="I57" s="83"/>
      <c r="J57" s="83"/>
      <c r="K57" s="83"/>
      <c r="L57" s="83"/>
      <c r="M57" s="83"/>
      <c r="N57" s="83"/>
      <c r="O57" s="83"/>
      <c r="P57" s="83"/>
      <c r="Q57" s="83"/>
      <c r="R57" s="83"/>
      <c r="S57" s="83"/>
      <c r="T57" s="83"/>
      <c r="U57" s="83"/>
      <c r="V57" s="83"/>
      <c r="W57" s="83"/>
      <c r="X57" s="83"/>
      <c r="Y57" s="83"/>
      <c r="Z57" s="83"/>
      <c r="AA57" s="83"/>
      <c r="AB57" s="83"/>
      <c r="AC57" s="83"/>
      <c r="AD57" s="83"/>
      <c r="AE57" s="83"/>
      <c r="AF57" s="83"/>
      <c r="AG57" s="83"/>
      <c r="AH57" s="83"/>
      <c r="AI57" s="83"/>
      <c r="AJ57" s="83"/>
      <c r="AK57" s="83"/>
      <c r="AL57" s="83"/>
      <c r="AM57" s="83"/>
      <c r="AN57" s="83"/>
      <c r="AO57" s="83"/>
      <c r="AP57" s="83"/>
      <c r="AQ57" s="83"/>
      <c r="AR57" s="83"/>
      <c r="AS57" s="83"/>
      <c r="AT57" s="83"/>
      <c r="AU57" s="83"/>
      <c r="AV57" s="83"/>
      <c r="AW57" s="83"/>
      <c r="AX57" s="83"/>
      <c r="AY57" s="83"/>
      <c r="AZ57" s="83"/>
      <c r="BA57" s="83"/>
      <c r="BB57" s="83"/>
      <c r="BC57" s="83"/>
      <c r="BD57" s="83"/>
      <c r="BE57" s="83"/>
      <c r="BF57" s="83"/>
      <c r="BG57" s="83"/>
      <c r="BH57" s="83"/>
      <c r="BI57" s="83"/>
      <c r="BJ57" s="83"/>
      <c r="BK57" s="83"/>
      <c r="BL57" s="83"/>
      <c r="BM57" s="83"/>
      <c r="BN57" s="83"/>
      <c r="BO57" s="83"/>
    </row>
    <row r="58" spans="1:70" x14ac:dyDescent="0.2">
      <c r="F58" s="1" t="s">
        <v>310</v>
      </c>
      <c r="I58" s="105">
        <f ca="1">AssmStartDate</f>
        <v>46388</v>
      </c>
      <c r="J58" s="105">
        <f ca="1">DATE(YEAR(I58),MONTH(I58)+1,1)</f>
        <v>46419</v>
      </c>
      <c r="K58" s="105">
        <f t="shared" ref="K58:BP58" ca="1" si="0">DATE(YEAR(J58),MONTH(J58)+1,1)</f>
        <v>46447</v>
      </c>
      <c r="L58" s="105">
        <f t="shared" ca="1" si="0"/>
        <v>46478</v>
      </c>
      <c r="M58" s="105">
        <f t="shared" ca="1" si="0"/>
        <v>46508</v>
      </c>
      <c r="N58" s="105">
        <f t="shared" ca="1" si="0"/>
        <v>46539</v>
      </c>
      <c r="O58" s="105">
        <f t="shared" ca="1" si="0"/>
        <v>46569</v>
      </c>
      <c r="P58" s="105">
        <f t="shared" ca="1" si="0"/>
        <v>46600</v>
      </c>
      <c r="Q58" s="105">
        <f t="shared" ca="1" si="0"/>
        <v>46631</v>
      </c>
      <c r="R58" s="105">
        <f t="shared" ca="1" si="0"/>
        <v>46661</v>
      </c>
      <c r="S58" s="105">
        <f t="shared" ca="1" si="0"/>
        <v>46692</v>
      </c>
      <c r="T58" s="105">
        <f t="shared" ca="1" si="0"/>
        <v>46722</v>
      </c>
      <c r="U58" s="105">
        <f t="shared" ca="1" si="0"/>
        <v>46753</v>
      </c>
      <c r="V58" s="105">
        <f t="shared" ca="1" si="0"/>
        <v>46784</v>
      </c>
      <c r="W58" s="105">
        <f t="shared" ca="1" si="0"/>
        <v>46813</v>
      </c>
      <c r="X58" s="105">
        <f t="shared" ca="1" si="0"/>
        <v>46844</v>
      </c>
      <c r="Y58" s="105">
        <f t="shared" ca="1" si="0"/>
        <v>46874</v>
      </c>
      <c r="Z58" s="105">
        <f t="shared" ca="1" si="0"/>
        <v>46905</v>
      </c>
      <c r="AA58" s="105">
        <f t="shared" ca="1" si="0"/>
        <v>46935</v>
      </c>
      <c r="AB58" s="105">
        <f t="shared" ca="1" si="0"/>
        <v>46966</v>
      </c>
      <c r="AC58" s="105">
        <f t="shared" ca="1" si="0"/>
        <v>46997</v>
      </c>
      <c r="AD58" s="105">
        <f t="shared" ca="1" si="0"/>
        <v>47027</v>
      </c>
      <c r="AE58" s="105">
        <f t="shared" ca="1" si="0"/>
        <v>47058</v>
      </c>
      <c r="AF58" s="105">
        <f t="shared" ca="1" si="0"/>
        <v>47088</v>
      </c>
      <c r="AG58" s="105">
        <f t="shared" ca="1" si="0"/>
        <v>47119</v>
      </c>
      <c r="AH58" s="105">
        <f t="shared" ca="1" si="0"/>
        <v>47150</v>
      </c>
      <c r="AI58" s="105">
        <f t="shared" ca="1" si="0"/>
        <v>47178</v>
      </c>
      <c r="AJ58" s="105">
        <f t="shared" ca="1" si="0"/>
        <v>47209</v>
      </c>
      <c r="AK58" s="105">
        <f t="shared" ca="1" si="0"/>
        <v>47239</v>
      </c>
      <c r="AL58" s="105">
        <f t="shared" ca="1" si="0"/>
        <v>47270</v>
      </c>
      <c r="AM58" s="105">
        <f t="shared" ca="1" si="0"/>
        <v>47300</v>
      </c>
      <c r="AN58" s="105">
        <f t="shared" ca="1" si="0"/>
        <v>47331</v>
      </c>
      <c r="AO58" s="105">
        <f t="shared" ca="1" si="0"/>
        <v>47362</v>
      </c>
      <c r="AP58" s="105">
        <f t="shared" ca="1" si="0"/>
        <v>47392</v>
      </c>
      <c r="AQ58" s="105">
        <f t="shared" ca="1" si="0"/>
        <v>47423</v>
      </c>
      <c r="AR58" s="105">
        <f t="shared" ca="1" si="0"/>
        <v>47453</v>
      </c>
      <c r="AS58" s="105">
        <f t="shared" ca="1" si="0"/>
        <v>47484</v>
      </c>
      <c r="AT58" s="105">
        <f t="shared" ca="1" si="0"/>
        <v>47515</v>
      </c>
      <c r="AU58" s="105">
        <f t="shared" ca="1" si="0"/>
        <v>47543</v>
      </c>
      <c r="AV58" s="105">
        <f t="shared" ca="1" si="0"/>
        <v>47574</v>
      </c>
      <c r="AW58" s="105">
        <f t="shared" ca="1" si="0"/>
        <v>47604</v>
      </c>
      <c r="AX58" s="105">
        <f t="shared" ca="1" si="0"/>
        <v>47635</v>
      </c>
      <c r="AY58" s="105">
        <f t="shared" ca="1" si="0"/>
        <v>47665</v>
      </c>
      <c r="AZ58" s="105">
        <f t="shared" ca="1" si="0"/>
        <v>47696</v>
      </c>
      <c r="BA58" s="105">
        <f t="shared" ca="1" si="0"/>
        <v>47727</v>
      </c>
      <c r="BB58" s="105">
        <f t="shared" ca="1" si="0"/>
        <v>47757</v>
      </c>
      <c r="BC58" s="105">
        <f t="shared" ca="1" si="0"/>
        <v>47788</v>
      </c>
      <c r="BD58" s="105">
        <f t="shared" ca="1" si="0"/>
        <v>47818</v>
      </c>
      <c r="BE58" s="105">
        <f t="shared" ca="1" si="0"/>
        <v>47849</v>
      </c>
      <c r="BF58" s="105">
        <f t="shared" ca="1" si="0"/>
        <v>47880</v>
      </c>
      <c r="BG58" s="105">
        <f t="shared" ca="1" si="0"/>
        <v>47908</v>
      </c>
      <c r="BH58" s="105">
        <f t="shared" ca="1" si="0"/>
        <v>47939</v>
      </c>
      <c r="BI58" s="105">
        <f t="shared" ca="1" si="0"/>
        <v>47969</v>
      </c>
      <c r="BJ58" s="105">
        <f t="shared" ca="1" si="0"/>
        <v>48000</v>
      </c>
      <c r="BK58" s="105">
        <f t="shared" ca="1" si="0"/>
        <v>48030</v>
      </c>
      <c r="BL58" s="105">
        <f t="shared" ca="1" si="0"/>
        <v>48061</v>
      </c>
      <c r="BM58" s="105">
        <f t="shared" ca="1" si="0"/>
        <v>48092</v>
      </c>
      <c r="BN58" s="105">
        <f t="shared" ca="1" si="0"/>
        <v>48122</v>
      </c>
      <c r="BO58" s="105">
        <f t="shared" ca="1" si="0"/>
        <v>48153</v>
      </c>
      <c r="BP58" s="105">
        <f t="shared" ca="1" si="0"/>
        <v>48183</v>
      </c>
    </row>
    <row r="59" spans="1:70" x14ac:dyDescent="0.2">
      <c r="F59" s="1" t="s">
        <v>311</v>
      </c>
      <c r="H59" s="67"/>
      <c r="I59" s="104">
        <f ca="1">EOMONTH(AssmStartDate,0)</f>
        <v>46418</v>
      </c>
      <c r="J59" s="105">
        <f t="shared" ref="J59:AO59" ca="1" si="1">EOMONTH(I59,1)</f>
        <v>46446</v>
      </c>
      <c r="K59" s="105">
        <f t="shared" ca="1" si="1"/>
        <v>46477</v>
      </c>
      <c r="L59" s="105">
        <f t="shared" ca="1" si="1"/>
        <v>46507</v>
      </c>
      <c r="M59" s="105">
        <f t="shared" ca="1" si="1"/>
        <v>46538</v>
      </c>
      <c r="N59" s="105">
        <f t="shared" ca="1" si="1"/>
        <v>46568</v>
      </c>
      <c r="O59" s="105">
        <f t="shared" ca="1" si="1"/>
        <v>46599</v>
      </c>
      <c r="P59" s="105">
        <f t="shared" ca="1" si="1"/>
        <v>46630</v>
      </c>
      <c r="Q59" s="105">
        <f t="shared" ca="1" si="1"/>
        <v>46660</v>
      </c>
      <c r="R59" s="105">
        <f t="shared" ca="1" si="1"/>
        <v>46691</v>
      </c>
      <c r="S59" s="105">
        <f t="shared" ca="1" si="1"/>
        <v>46721</v>
      </c>
      <c r="T59" s="105">
        <f t="shared" ca="1" si="1"/>
        <v>46752</v>
      </c>
      <c r="U59" s="105">
        <f t="shared" ca="1" si="1"/>
        <v>46783</v>
      </c>
      <c r="V59" s="105">
        <f t="shared" ca="1" si="1"/>
        <v>46812</v>
      </c>
      <c r="W59" s="105">
        <f t="shared" ca="1" si="1"/>
        <v>46843</v>
      </c>
      <c r="X59" s="105">
        <f t="shared" ca="1" si="1"/>
        <v>46873</v>
      </c>
      <c r="Y59" s="105">
        <f t="shared" ca="1" si="1"/>
        <v>46904</v>
      </c>
      <c r="Z59" s="105">
        <f t="shared" ca="1" si="1"/>
        <v>46934</v>
      </c>
      <c r="AA59" s="105">
        <f t="shared" ca="1" si="1"/>
        <v>46965</v>
      </c>
      <c r="AB59" s="105">
        <f t="shared" ca="1" si="1"/>
        <v>46996</v>
      </c>
      <c r="AC59" s="105">
        <f t="shared" ca="1" si="1"/>
        <v>47026</v>
      </c>
      <c r="AD59" s="105">
        <f t="shared" ca="1" si="1"/>
        <v>47057</v>
      </c>
      <c r="AE59" s="105">
        <f t="shared" ca="1" si="1"/>
        <v>47087</v>
      </c>
      <c r="AF59" s="105">
        <f t="shared" ca="1" si="1"/>
        <v>47118</v>
      </c>
      <c r="AG59" s="105">
        <f t="shared" ca="1" si="1"/>
        <v>47149</v>
      </c>
      <c r="AH59" s="105">
        <f t="shared" ca="1" si="1"/>
        <v>47177</v>
      </c>
      <c r="AI59" s="105">
        <f t="shared" ca="1" si="1"/>
        <v>47208</v>
      </c>
      <c r="AJ59" s="105">
        <f t="shared" ca="1" si="1"/>
        <v>47238</v>
      </c>
      <c r="AK59" s="105">
        <f t="shared" ca="1" si="1"/>
        <v>47269</v>
      </c>
      <c r="AL59" s="105">
        <f t="shared" ca="1" si="1"/>
        <v>47299</v>
      </c>
      <c r="AM59" s="105">
        <f t="shared" ca="1" si="1"/>
        <v>47330</v>
      </c>
      <c r="AN59" s="105">
        <f t="shared" ca="1" si="1"/>
        <v>47361</v>
      </c>
      <c r="AO59" s="105">
        <f t="shared" ca="1" si="1"/>
        <v>47391</v>
      </c>
      <c r="AP59" s="105">
        <f t="shared" ref="AP59:BP59" ca="1" si="2">EOMONTH(AO59,1)</f>
        <v>47422</v>
      </c>
      <c r="AQ59" s="105">
        <f t="shared" ca="1" si="2"/>
        <v>47452</v>
      </c>
      <c r="AR59" s="105">
        <f t="shared" ca="1" si="2"/>
        <v>47483</v>
      </c>
      <c r="AS59" s="105">
        <f t="shared" ca="1" si="2"/>
        <v>47514</v>
      </c>
      <c r="AT59" s="105">
        <f t="shared" ca="1" si="2"/>
        <v>47542</v>
      </c>
      <c r="AU59" s="105">
        <f t="shared" ca="1" si="2"/>
        <v>47573</v>
      </c>
      <c r="AV59" s="105">
        <f t="shared" ca="1" si="2"/>
        <v>47603</v>
      </c>
      <c r="AW59" s="105">
        <f t="shared" ca="1" si="2"/>
        <v>47634</v>
      </c>
      <c r="AX59" s="105">
        <f t="shared" ca="1" si="2"/>
        <v>47664</v>
      </c>
      <c r="AY59" s="105">
        <f t="shared" ca="1" si="2"/>
        <v>47695</v>
      </c>
      <c r="AZ59" s="105">
        <f t="shared" ca="1" si="2"/>
        <v>47726</v>
      </c>
      <c r="BA59" s="105">
        <f t="shared" ca="1" si="2"/>
        <v>47756</v>
      </c>
      <c r="BB59" s="105">
        <f t="shared" ca="1" si="2"/>
        <v>47787</v>
      </c>
      <c r="BC59" s="105">
        <f t="shared" ca="1" si="2"/>
        <v>47817</v>
      </c>
      <c r="BD59" s="105">
        <f t="shared" ca="1" si="2"/>
        <v>47848</v>
      </c>
      <c r="BE59" s="105">
        <f t="shared" ca="1" si="2"/>
        <v>47879</v>
      </c>
      <c r="BF59" s="105">
        <f t="shared" ca="1" si="2"/>
        <v>47907</v>
      </c>
      <c r="BG59" s="105">
        <f t="shared" ca="1" si="2"/>
        <v>47938</v>
      </c>
      <c r="BH59" s="105">
        <f t="shared" ca="1" si="2"/>
        <v>47968</v>
      </c>
      <c r="BI59" s="105">
        <f t="shared" ca="1" si="2"/>
        <v>47999</v>
      </c>
      <c r="BJ59" s="105">
        <f t="shared" ca="1" si="2"/>
        <v>48029</v>
      </c>
      <c r="BK59" s="105">
        <f t="shared" ca="1" si="2"/>
        <v>48060</v>
      </c>
      <c r="BL59" s="105">
        <f t="shared" ca="1" si="2"/>
        <v>48091</v>
      </c>
      <c r="BM59" s="105">
        <f t="shared" ca="1" si="2"/>
        <v>48121</v>
      </c>
      <c r="BN59" s="105">
        <f t="shared" ca="1" si="2"/>
        <v>48152</v>
      </c>
      <c r="BO59" s="105">
        <f t="shared" ca="1" si="2"/>
        <v>48182</v>
      </c>
      <c r="BP59" s="105">
        <f t="shared" ca="1" si="2"/>
        <v>48213</v>
      </c>
    </row>
    <row r="60" spans="1:70" x14ac:dyDescent="0.2">
      <c r="F60" s="5" t="s">
        <v>66</v>
      </c>
      <c r="H60" s="6"/>
      <c r="I60" s="7">
        <f>H60+1</f>
        <v>1</v>
      </c>
      <c r="J60" s="7">
        <f t="shared" ref="J60:BP60" si="3">I60+1</f>
        <v>2</v>
      </c>
      <c r="K60" s="7">
        <f t="shared" si="3"/>
        <v>3</v>
      </c>
      <c r="L60" s="7">
        <f t="shared" si="3"/>
        <v>4</v>
      </c>
      <c r="M60" s="7">
        <f t="shared" si="3"/>
        <v>5</v>
      </c>
      <c r="N60" s="7">
        <f t="shared" si="3"/>
        <v>6</v>
      </c>
      <c r="O60" s="7">
        <f t="shared" si="3"/>
        <v>7</v>
      </c>
      <c r="P60" s="7">
        <f t="shared" si="3"/>
        <v>8</v>
      </c>
      <c r="Q60" s="7">
        <f t="shared" si="3"/>
        <v>9</v>
      </c>
      <c r="R60" s="7">
        <f t="shared" si="3"/>
        <v>10</v>
      </c>
      <c r="S60" s="7">
        <f t="shared" si="3"/>
        <v>11</v>
      </c>
      <c r="T60" s="7">
        <f t="shared" si="3"/>
        <v>12</v>
      </c>
      <c r="U60" s="7">
        <f t="shared" si="3"/>
        <v>13</v>
      </c>
      <c r="V60" s="7">
        <f t="shared" si="3"/>
        <v>14</v>
      </c>
      <c r="W60" s="7">
        <f t="shared" si="3"/>
        <v>15</v>
      </c>
      <c r="X60" s="7">
        <f t="shared" si="3"/>
        <v>16</v>
      </c>
      <c r="Y60" s="7">
        <f t="shared" si="3"/>
        <v>17</v>
      </c>
      <c r="Z60" s="7">
        <f t="shared" si="3"/>
        <v>18</v>
      </c>
      <c r="AA60" s="7">
        <f t="shared" si="3"/>
        <v>19</v>
      </c>
      <c r="AB60" s="7">
        <f t="shared" si="3"/>
        <v>20</v>
      </c>
      <c r="AC60" s="7">
        <f t="shared" si="3"/>
        <v>21</v>
      </c>
      <c r="AD60" s="7">
        <f t="shared" si="3"/>
        <v>22</v>
      </c>
      <c r="AE60" s="7">
        <f t="shared" si="3"/>
        <v>23</v>
      </c>
      <c r="AF60" s="7">
        <f t="shared" si="3"/>
        <v>24</v>
      </c>
      <c r="AG60" s="7">
        <f t="shared" si="3"/>
        <v>25</v>
      </c>
      <c r="AH60" s="7">
        <f t="shared" si="3"/>
        <v>26</v>
      </c>
      <c r="AI60" s="7">
        <f t="shared" si="3"/>
        <v>27</v>
      </c>
      <c r="AJ60" s="7">
        <f t="shared" si="3"/>
        <v>28</v>
      </c>
      <c r="AK60" s="7">
        <f t="shared" si="3"/>
        <v>29</v>
      </c>
      <c r="AL60" s="7">
        <f t="shared" si="3"/>
        <v>30</v>
      </c>
      <c r="AM60" s="7">
        <f t="shared" si="3"/>
        <v>31</v>
      </c>
      <c r="AN60" s="7">
        <f t="shared" si="3"/>
        <v>32</v>
      </c>
      <c r="AO60" s="7">
        <f t="shared" si="3"/>
        <v>33</v>
      </c>
      <c r="AP60" s="7">
        <f t="shared" si="3"/>
        <v>34</v>
      </c>
      <c r="AQ60" s="7">
        <f t="shared" si="3"/>
        <v>35</v>
      </c>
      <c r="AR60" s="7">
        <f t="shared" si="3"/>
        <v>36</v>
      </c>
      <c r="AS60" s="7">
        <f t="shared" si="3"/>
        <v>37</v>
      </c>
      <c r="AT60" s="7">
        <f t="shared" si="3"/>
        <v>38</v>
      </c>
      <c r="AU60" s="7">
        <f t="shared" si="3"/>
        <v>39</v>
      </c>
      <c r="AV60" s="7">
        <f t="shared" si="3"/>
        <v>40</v>
      </c>
      <c r="AW60" s="7">
        <f t="shared" si="3"/>
        <v>41</v>
      </c>
      <c r="AX60" s="7">
        <f t="shared" si="3"/>
        <v>42</v>
      </c>
      <c r="AY60" s="7">
        <f t="shared" si="3"/>
        <v>43</v>
      </c>
      <c r="AZ60" s="7">
        <f t="shared" si="3"/>
        <v>44</v>
      </c>
      <c r="BA60" s="7">
        <f t="shared" si="3"/>
        <v>45</v>
      </c>
      <c r="BB60" s="7">
        <f t="shared" si="3"/>
        <v>46</v>
      </c>
      <c r="BC60" s="7">
        <f t="shared" si="3"/>
        <v>47</v>
      </c>
      <c r="BD60" s="7">
        <f t="shared" si="3"/>
        <v>48</v>
      </c>
      <c r="BE60" s="7">
        <f t="shared" si="3"/>
        <v>49</v>
      </c>
      <c r="BF60" s="7">
        <f t="shared" si="3"/>
        <v>50</v>
      </c>
      <c r="BG60" s="7">
        <f>BF60+1</f>
        <v>51</v>
      </c>
      <c r="BH60" s="7">
        <f t="shared" si="3"/>
        <v>52</v>
      </c>
      <c r="BI60" s="7">
        <f t="shared" si="3"/>
        <v>53</v>
      </c>
      <c r="BJ60" s="7">
        <f t="shared" si="3"/>
        <v>54</v>
      </c>
      <c r="BK60" s="7">
        <f t="shared" si="3"/>
        <v>55</v>
      </c>
      <c r="BL60" s="7">
        <f t="shared" si="3"/>
        <v>56</v>
      </c>
      <c r="BM60" s="7">
        <f t="shared" si="3"/>
        <v>57</v>
      </c>
      <c r="BN60" s="7">
        <f t="shared" si="3"/>
        <v>58</v>
      </c>
      <c r="BO60" s="7">
        <f t="shared" si="3"/>
        <v>59</v>
      </c>
      <c r="BP60" s="7">
        <f t="shared" si="3"/>
        <v>60</v>
      </c>
      <c r="BQ60" s="7"/>
      <c r="BR60" s="7"/>
    </row>
    <row r="61" spans="1:70" x14ac:dyDescent="0.2">
      <c r="F61" s="5" t="s">
        <v>297</v>
      </c>
      <c r="H61" s="6"/>
      <c r="I61" s="1">
        <f ca="1">YEAR(I59)</f>
        <v>2027</v>
      </c>
      <c r="J61" s="1">
        <f t="shared" ref="J61:BP61" ca="1" si="4">YEAR(J59)</f>
        <v>2027</v>
      </c>
      <c r="K61" s="1">
        <f t="shared" ca="1" si="4"/>
        <v>2027</v>
      </c>
      <c r="L61" s="1">
        <f t="shared" ca="1" si="4"/>
        <v>2027</v>
      </c>
      <c r="M61" s="1">
        <f t="shared" ca="1" si="4"/>
        <v>2027</v>
      </c>
      <c r="N61" s="1">
        <f t="shared" ca="1" si="4"/>
        <v>2027</v>
      </c>
      <c r="O61" s="1">
        <f t="shared" ca="1" si="4"/>
        <v>2027</v>
      </c>
      <c r="P61" s="1">
        <f t="shared" ca="1" si="4"/>
        <v>2027</v>
      </c>
      <c r="Q61" s="1">
        <f t="shared" ca="1" si="4"/>
        <v>2027</v>
      </c>
      <c r="R61" s="1">
        <f t="shared" ca="1" si="4"/>
        <v>2027</v>
      </c>
      <c r="S61" s="1">
        <f t="shared" ca="1" si="4"/>
        <v>2027</v>
      </c>
      <c r="T61" s="1">
        <f t="shared" ca="1" si="4"/>
        <v>2027</v>
      </c>
      <c r="U61" s="1">
        <f t="shared" ca="1" si="4"/>
        <v>2028</v>
      </c>
      <c r="V61" s="1">
        <f t="shared" ca="1" si="4"/>
        <v>2028</v>
      </c>
      <c r="W61" s="1">
        <f t="shared" ca="1" si="4"/>
        <v>2028</v>
      </c>
      <c r="X61" s="1">
        <f t="shared" ca="1" si="4"/>
        <v>2028</v>
      </c>
      <c r="Y61" s="1">
        <f t="shared" ca="1" si="4"/>
        <v>2028</v>
      </c>
      <c r="Z61" s="1">
        <f t="shared" ca="1" si="4"/>
        <v>2028</v>
      </c>
      <c r="AA61" s="1">
        <f t="shared" ca="1" si="4"/>
        <v>2028</v>
      </c>
      <c r="AB61" s="1">
        <f t="shared" ca="1" si="4"/>
        <v>2028</v>
      </c>
      <c r="AC61" s="1">
        <f t="shared" ca="1" si="4"/>
        <v>2028</v>
      </c>
      <c r="AD61" s="1">
        <f t="shared" ca="1" si="4"/>
        <v>2028</v>
      </c>
      <c r="AE61" s="1">
        <f t="shared" ca="1" si="4"/>
        <v>2028</v>
      </c>
      <c r="AF61" s="1">
        <f t="shared" ca="1" si="4"/>
        <v>2028</v>
      </c>
      <c r="AG61" s="1">
        <f t="shared" ca="1" si="4"/>
        <v>2029</v>
      </c>
      <c r="AH61" s="1">
        <f t="shared" ca="1" si="4"/>
        <v>2029</v>
      </c>
      <c r="AI61" s="1">
        <f t="shared" ca="1" si="4"/>
        <v>2029</v>
      </c>
      <c r="AJ61" s="1">
        <f t="shared" ca="1" si="4"/>
        <v>2029</v>
      </c>
      <c r="AK61" s="1">
        <f t="shared" ca="1" si="4"/>
        <v>2029</v>
      </c>
      <c r="AL61" s="1">
        <f t="shared" ca="1" si="4"/>
        <v>2029</v>
      </c>
      <c r="AM61" s="1">
        <f t="shared" ca="1" si="4"/>
        <v>2029</v>
      </c>
      <c r="AN61" s="1">
        <f t="shared" ca="1" si="4"/>
        <v>2029</v>
      </c>
      <c r="AO61" s="1">
        <f t="shared" ca="1" si="4"/>
        <v>2029</v>
      </c>
      <c r="AP61" s="1">
        <f t="shared" ca="1" si="4"/>
        <v>2029</v>
      </c>
      <c r="AQ61" s="1">
        <f t="shared" ca="1" si="4"/>
        <v>2029</v>
      </c>
      <c r="AR61" s="1">
        <f t="shared" ca="1" si="4"/>
        <v>2029</v>
      </c>
      <c r="AS61" s="1">
        <f t="shared" ca="1" si="4"/>
        <v>2030</v>
      </c>
      <c r="AT61" s="1">
        <f t="shared" ca="1" si="4"/>
        <v>2030</v>
      </c>
      <c r="AU61" s="1">
        <f t="shared" ca="1" si="4"/>
        <v>2030</v>
      </c>
      <c r="AV61" s="1">
        <f t="shared" ca="1" si="4"/>
        <v>2030</v>
      </c>
      <c r="AW61" s="1">
        <f t="shared" ca="1" si="4"/>
        <v>2030</v>
      </c>
      <c r="AX61" s="1">
        <f t="shared" ca="1" si="4"/>
        <v>2030</v>
      </c>
      <c r="AY61" s="1">
        <f t="shared" ca="1" si="4"/>
        <v>2030</v>
      </c>
      <c r="AZ61" s="1">
        <f t="shared" ca="1" si="4"/>
        <v>2030</v>
      </c>
      <c r="BA61" s="1">
        <f t="shared" ca="1" si="4"/>
        <v>2030</v>
      </c>
      <c r="BB61" s="1">
        <f t="shared" ca="1" si="4"/>
        <v>2030</v>
      </c>
      <c r="BC61" s="1">
        <f t="shared" ca="1" si="4"/>
        <v>2030</v>
      </c>
      <c r="BD61" s="1">
        <f t="shared" ca="1" si="4"/>
        <v>2030</v>
      </c>
      <c r="BE61" s="1">
        <f t="shared" ca="1" si="4"/>
        <v>2031</v>
      </c>
      <c r="BF61" s="1">
        <f t="shared" ca="1" si="4"/>
        <v>2031</v>
      </c>
      <c r="BG61" s="1">
        <f t="shared" ca="1" si="4"/>
        <v>2031</v>
      </c>
      <c r="BH61" s="1">
        <f t="shared" ca="1" si="4"/>
        <v>2031</v>
      </c>
      <c r="BI61" s="1">
        <f t="shared" ca="1" si="4"/>
        <v>2031</v>
      </c>
      <c r="BJ61" s="1">
        <f t="shared" ca="1" si="4"/>
        <v>2031</v>
      </c>
      <c r="BK61" s="1">
        <f t="shared" ca="1" si="4"/>
        <v>2031</v>
      </c>
      <c r="BL61" s="1">
        <f t="shared" ca="1" si="4"/>
        <v>2031</v>
      </c>
      <c r="BM61" s="1">
        <f t="shared" ca="1" si="4"/>
        <v>2031</v>
      </c>
      <c r="BN61" s="1">
        <f t="shared" ca="1" si="4"/>
        <v>2031</v>
      </c>
      <c r="BO61" s="1">
        <f t="shared" ca="1" si="4"/>
        <v>2031</v>
      </c>
      <c r="BP61" s="1">
        <f t="shared" ca="1" si="4"/>
        <v>2031</v>
      </c>
    </row>
    <row r="62" spans="1:70" x14ac:dyDescent="0.2">
      <c r="F62" s="5" t="s">
        <v>30</v>
      </c>
      <c r="H62" s="6"/>
      <c r="I62" s="7">
        <f t="shared" ref="I62:AN62" si="5">ROUNDUP(I60/12,0)</f>
        <v>1</v>
      </c>
      <c r="J62" s="7">
        <f t="shared" si="5"/>
        <v>1</v>
      </c>
      <c r="K62" s="7">
        <f t="shared" si="5"/>
        <v>1</v>
      </c>
      <c r="L62" s="7">
        <f t="shared" si="5"/>
        <v>1</v>
      </c>
      <c r="M62" s="7">
        <f t="shared" si="5"/>
        <v>1</v>
      </c>
      <c r="N62" s="7">
        <f t="shared" si="5"/>
        <v>1</v>
      </c>
      <c r="O62" s="7">
        <f t="shared" si="5"/>
        <v>1</v>
      </c>
      <c r="P62" s="7">
        <f t="shared" si="5"/>
        <v>1</v>
      </c>
      <c r="Q62" s="7">
        <f t="shared" si="5"/>
        <v>1</v>
      </c>
      <c r="R62" s="7">
        <f t="shared" si="5"/>
        <v>1</v>
      </c>
      <c r="S62" s="7">
        <f t="shared" si="5"/>
        <v>1</v>
      </c>
      <c r="T62" s="7">
        <f t="shared" si="5"/>
        <v>1</v>
      </c>
      <c r="U62" s="7">
        <f t="shared" si="5"/>
        <v>2</v>
      </c>
      <c r="V62" s="7">
        <f t="shared" si="5"/>
        <v>2</v>
      </c>
      <c r="W62" s="7">
        <f t="shared" si="5"/>
        <v>2</v>
      </c>
      <c r="X62" s="7">
        <f t="shared" si="5"/>
        <v>2</v>
      </c>
      <c r="Y62" s="7">
        <f t="shared" si="5"/>
        <v>2</v>
      </c>
      <c r="Z62" s="7">
        <f t="shared" si="5"/>
        <v>2</v>
      </c>
      <c r="AA62" s="7">
        <f t="shared" si="5"/>
        <v>2</v>
      </c>
      <c r="AB62" s="7">
        <f t="shared" si="5"/>
        <v>2</v>
      </c>
      <c r="AC62" s="7">
        <f t="shared" si="5"/>
        <v>2</v>
      </c>
      <c r="AD62" s="7">
        <f t="shared" si="5"/>
        <v>2</v>
      </c>
      <c r="AE62" s="7">
        <f t="shared" si="5"/>
        <v>2</v>
      </c>
      <c r="AF62" s="7">
        <f t="shared" si="5"/>
        <v>2</v>
      </c>
      <c r="AG62" s="7">
        <f t="shared" si="5"/>
        <v>3</v>
      </c>
      <c r="AH62" s="7">
        <f t="shared" si="5"/>
        <v>3</v>
      </c>
      <c r="AI62" s="7">
        <f t="shared" si="5"/>
        <v>3</v>
      </c>
      <c r="AJ62" s="7">
        <f t="shared" si="5"/>
        <v>3</v>
      </c>
      <c r="AK62" s="7">
        <f t="shared" si="5"/>
        <v>3</v>
      </c>
      <c r="AL62" s="7">
        <f t="shared" si="5"/>
        <v>3</v>
      </c>
      <c r="AM62" s="7">
        <f t="shared" si="5"/>
        <v>3</v>
      </c>
      <c r="AN62" s="7">
        <f t="shared" si="5"/>
        <v>3</v>
      </c>
      <c r="AO62" s="7">
        <f t="shared" ref="AO62:BP62" si="6">ROUNDUP(AO60/12,0)</f>
        <v>3</v>
      </c>
      <c r="AP62" s="7">
        <f t="shared" si="6"/>
        <v>3</v>
      </c>
      <c r="AQ62" s="7">
        <f t="shared" si="6"/>
        <v>3</v>
      </c>
      <c r="AR62" s="7">
        <f t="shared" si="6"/>
        <v>3</v>
      </c>
      <c r="AS62" s="7">
        <f t="shared" si="6"/>
        <v>4</v>
      </c>
      <c r="AT62" s="7">
        <f t="shared" si="6"/>
        <v>4</v>
      </c>
      <c r="AU62" s="7">
        <f t="shared" si="6"/>
        <v>4</v>
      </c>
      <c r="AV62" s="7">
        <f t="shared" si="6"/>
        <v>4</v>
      </c>
      <c r="AW62" s="7">
        <f t="shared" si="6"/>
        <v>4</v>
      </c>
      <c r="AX62" s="7">
        <f t="shared" si="6"/>
        <v>4</v>
      </c>
      <c r="AY62" s="7">
        <f t="shared" si="6"/>
        <v>4</v>
      </c>
      <c r="AZ62" s="7">
        <f t="shared" si="6"/>
        <v>4</v>
      </c>
      <c r="BA62" s="7">
        <f t="shared" si="6"/>
        <v>4</v>
      </c>
      <c r="BB62" s="7">
        <f t="shared" si="6"/>
        <v>4</v>
      </c>
      <c r="BC62" s="7">
        <f t="shared" si="6"/>
        <v>4</v>
      </c>
      <c r="BD62" s="7">
        <f t="shared" si="6"/>
        <v>4</v>
      </c>
      <c r="BE62" s="7">
        <f t="shared" si="6"/>
        <v>5</v>
      </c>
      <c r="BF62" s="7">
        <f t="shared" si="6"/>
        <v>5</v>
      </c>
      <c r="BG62" s="7">
        <f t="shared" si="6"/>
        <v>5</v>
      </c>
      <c r="BH62" s="7">
        <f t="shared" si="6"/>
        <v>5</v>
      </c>
      <c r="BI62" s="7">
        <f t="shared" si="6"/>
        <v>5</v>
      </c>
      <c r="BJ62" s="7">
        <f t="shared" si="6"/>
        <v>5</v>
      </c>
      <c r="BK62" s="7">
        <f t="shared" si="6"/>
        <v>5</v>
      </c>
      <c r="BL62" s="7">
        <f t="shared" si="6"/>
        <v>5</v>
      </c>
      <c r="BM62" s="7">
        <f t="shared" si="6"/>
        <v>5</v>
      </c>
      <c r="BN62" s="7">
        <f t="shared" si="6"/>
        <v>5</v>
      </c>
      <c r="BO62" s="7">
        <f t="shared" si="6"/>
        <v>5</v>
      </c>
      <c r="BP62" s="7">
        <f t="shared" si="6"/>
        <v>5</v>
      </c>
    </row>
    <row r="63" spans="1:70" x14ac:dyDescent="0.2">
      <c r="E63" s="5"/>
      <c r="G63" s="6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</row>
    <row r="64" spans="1:70" ht="15" x14ac:dyDescent="0.25">
      <c r="A64" s="83"/>
      <c r="B64" s="83"/>
      <c r="C64" s="83"/>
      <c r="D64" s="83"/>
      <c r="E64" s="83" t="s">
        <v>80</v>
      </c>
      <c r="F64" s="83"/>
      <c r="G64" s="83"/>
      <c r="H64" s="83"/>
      <c r="I64" s="83"/>
      <c r="J64" s="83"/>
      <c r="K64" s="83"/>
      <c r="L64" s="83"/>
      <c r="M64" s="83"/>
      <c r="N64" s="83"/>
      <c r="O64" s="83"/>
      <c r="P64" s="83"/>
      <c r="Q64" s="83"/>
      <c r="R64" s="83"/>
      <c r="S64" s="83"/>
      <c r="T64" s="83"/>
      <c r="U64" s="83"/>
      <c r="V64" s="83"/>
      <c r="W64" s="83"/>
      <c r="X64" s="83"/>
      <c r="Y64" s="83"/>
      <c r="Z64" s="83"/>
      <c r="AA64" s="83"/>
      <c r="AB64" s="83"/>
      <c r="AC64" s="83"/>
      <c r="AD64" s="83"/>
      <c r="AE64" s="83"/>
      <c r="AF64" s="83"/>
      <c r="AG64" s="83"/>
      <c r="AH64" s="83"/>
      <c r="AI64" s="83"/>
      <c r="AJ64" s="83"/>
      <c r="AK64" s="83"/>
      <c r="AL64" s="83"/>
      <c r="AM64" s="83"/>
      <c r="AN64" s="83"/>
      <c r="AO64" s="83"/>
      <c r="AP64" s="83"/>
      <c r="AQ64" s="83"/>
      <c r="AR64" s="83"/>
      <c r="AS64" s="83"/>
      <c r="AT64" s="83"/>
      <c r="AU64" s="83"/>
      <c r="AV64" s="83"/>
      <c r="AW64" s="83"/>
      <c r="AX64" s="83"/>
      <c r="AY64" s="83"/>
      <c r="AZ64" s="83"/>
      <c r="BA64" s="83"/>
      <c r="BB64" s="83"/>
      <c r="BC64" s="83"/>
      <c r="BD64" s="83"/>
      <c r="BE64" s="83"/>
      <c r="BF64" s="83"/>
      <c r="BG64" s="83"/>
      <c r="BH64" s="83"/>
      <c r="BI64" s="83"/>
      <c r="BJ64" s="83"/>
      <c r="BK64" s="83"/>
      <c r="BL64" s="83"/>
      <c r="BM64" s="83"/>
      <c r="BN64" s="83"/>
      <c r="BO64" s="83"/>
    </row>
    <row r="65" spans="6:68" x14ac:dyDescent="0.2">
      <c r="F65" s="47" t="s">
        <v>312</v>
      </c>
      <c r="G65" s="48" t="s">
        <v>313</v>
      </c>
      <c r="H65" s="49" t="s">
        <v>314</v>
      </c>
      <c r="I65" s="50" t="s">
        <v>315</v>
      </c>
      <c r="J65" s="50"/>
      <c r="K65" s="50"/>
      <c r="L65" s="50"/>
      <c r="M65" s="50"/>
      <c r="N65" s="50"/>
      <c r="O65" s="50"/>
      <c r="P65" s="50"/>
      <c r="Q65" s="50"/>
      <c r="R65" s="50"/>
      <c r="S65" s="50"/>
      <c r="T65" s="50"/>
      <c r="U65" s="50"/>
      <c r="V65" s="50"/>
      <c r="W65" s="50"/>
      <c r="X65" s="50"/>
      <c r="Y65" s="50"/>
      <c r="Z65" s="50"/>
      <c r="AA65" s="50"/>
      <c r="AB65" s="50"/>
      <c r="AC65" s="50"/>
      <c r="AD65" s="50"/>
      <c r="AE65" s="50"/>
      <c r="AF65" s="50"/>
      <c r="AG65" s="50"/>
      <c r="AH65" s="50"/>
      <c r="AI65" s="50"/>
      <c r="AJ65" s="50"/>
      <c r="AK65" s="50"/>
      <c r="AL65" s="50"/>
      <c r="AM65" s="50"/>
      <c r="AN65" s="50"/>
      <c r="AO65" s="50"/>
      <c r="AP65" s="50"/>
      <c r="AQ65" s="50"/>
      <c r="AR65" s="50"/>
      <c r="AS65" s="50"/>
      <c r="AT65" s="50"/>
      <c r="AU65" s="50"/>
      <c r="AV65" s="50"/>
      <c r="AW65" s="50"/>
      <c r="AX65" s="50"/>
      <c r="AY65" s="50"/>
      <c r="AZ65" s="50"/>
      <c r="BA65" s="50"/>
      <c r="BB65" s="50"/>
      <c r="BC65" s="50"/>
      <c r="BD65" s="50"/>
      <c r="BE65" s="50"/>
      <c r="BF65" s="50"/>
      <c r="BG65" s="50"/>
      <c r="BH65" s="50"/>
      <c r="BI65" s="50"/>
      <c r="BJ65" s="50"/>
      <c r="BK65" s="50"/>
      <c r="BL65" s="50"/>
      <c r="BM65" s="50"/>
      <c r="BN65" s="50"/>
      <c r="BO65" s="50"/>
      <c r="BP65" s="50"/>
    </row>
    <row r="66" spans="6:68" ht="15" x14ac:dyDescent="0.25">
      <c r="F66" s="22" t="s">
        <v>307</v>
      </c>
      <c r="G66" s="18" t="s">
        <v>82</v>
      </c>
      <c r="H66" s="28">
        <f>IFERROR(INDEX(tblStaff[Salary],MATCH(Assumptions!G66,tblStaff[Staff],0)),0)</f>
        <v>120000</v>
      </c>
      <c r="I66" s="17">
        <v>0</v>
      </c>
      <c r="J66" s="17">
        <v>1</v>
      </c>
      <c r="K66" s="17">
        <v>1</v>
      </c>
      <c r="L66" s="17">
        <v>1</v>
      </c>
      <c r="M66" s="17">
        <v>1</v>
      </c>
      <c r="N66" s="17">
        <v>1</v>
      </c>
      <c r="O66" s="17">
        <v>1</v>
      </c>
      <c r="P66" s="17">
        <v>1</v>
      </c>
      <c r="Q66" s="17">
        <v>1</v>
      </c>
      <c r="R66" s="17">
        <v>1</v>
      </c>
      <c r="S66" s="17">
        <v>1</v>
      </c>
      <c r="T66" s="17">
        <v>1</v>
      </c>
      <c r="U66" s="17">
        <v>1</v>
      </c>
      <c r="V66" s="17">
        <v>1</v>
      </c>
      <c r="W66" s="17">
        <v>1</v>
      </c>
      <c r="X66" s="17">
        <v>1</v>
      </c>
      <c r="Y66" s="17">
        <v>1</v>
      </c>
      <c r="Z66" s="17">
        <v>1</v>
      </c>
      <c r="AA66" s="17">
        <v>1</v>
      </c>
      <c r="AB66" s="17">
        <v>1</v>
      </c>
      <c r="AC66" s="17">
        <v>1</v>
      </c>
      <c r="AD66" s="17">
        <v>1</v>
      </c>
      <c r="AE66" s="17">
        <v>1</v>
      </c>
      <c r="AF66" s="17">
        <v>1</v>
      </c>
      <c r="AG66" s="17">
        <v>1</v>
      </c>
      <c r="AH66" s="17">
        <v>1</v>
      </c>
      <c r="AI66" s="17">
        <v>1</v>
      </c>
      <c r="AJ66" s="17">
        <v>1</v>
      </c>
      <c r="AK66" s="17">
        <v>1</v>
      </c>
      <c r="AL66" s="17">
        <v>1</v>
      </c>
      <c r="AM66" s="17">
        <v>1</v>
      </c>
      <c r="AN66" s="17">
        <v>1</v>
      </c>
      <c r="AO66" s="17">
        <v>1</v>
      </c>
      <c r="AP66" s="17">
        <v>1</v>
      </c>
      <c r="AQ66" s="17">
        <v>1</v>
      </c>
      <c r="AR66" s="17">
        <v>1</v>
      </c>
      <c r="AS66" s="17">
        <v>1</v>
      </c>
      <c r="AT66" s="17">
        <v>1</v>
      </c>
      <c r="AU66" s="17">
        <v>1</v>
      </c>
      <c r="AV66" s="17">
        <v>1</v>
      </c>
      <c r="AW66" s="17">
        <v>1</v>
      </c>
      <c r="AX66" s="17">
        <v>1</v>
      </c>
      <c r="AY66" s="17">
        <v>1</v>
      </c>
      <c r="AZ66" s="17">
        <v>1</v>
      </c>
      <c r="BA66" s="17">
        <v>1</v>
      </c>
      <c r="BB66" s="17">
        <v>1</v>
      </c>
      <c r="BC66" s="17">
        <v>1</v>
      </c>
      <c r="BD66" s="17">
        <v>1</v>
      </c>
      <c r="BE66" s="17">
        <v>1</v>
      </c>
      <c r="BF66" s="17">
        <v>1</v>
      </c>
      <c r="BG66" s="17">
        <v>1</v>
      </c>
      <c r="BH66" s="17">
        <v>1</v>
      </c>
      <c r="BI66" s="17">
        <v>1</v>
      </c>
      <c r="BJ66" s="17">
        <v>1</v>
      </c>
      <c r="BK66" s="17">
        <v>1</v>
      </c>
      <c r="BL66" s="17">
        <v>1</v>
      </c>
      <c r="BM66" s="17">
        <v>1</v>
      </c>
      <c r="BN66" s="17">
        <v>1</v>
      </c>
      <c r="BO66" s="17">
        <v>1</v>
      </c>
      <c r="BP66" s="17">
        <v>1</v>
      </c>
    </row>
    <row r="67" spans="6:68" ht="15" x14ac:dyDescent="0.25">
      <c r="F67" s="22" t="s">
        <v>307</v>
      </c>
      <c r="G67" s="18" t="s">
        <v>83</v>
      </c>
      <c r="H67" s="28">
        <f>IFERROR(INDEX(tblStaff[Salary],MATCH(Assumptions!G67,tblStaff[Staff],0)),0)</f>
        <v>100000</v>
      </c>
      <c r="I67" s="17"/>
      <c r="J67" s="17"/>
      <c r="K67" s="17"/>
      <c r="L67" s="17"/>
      <c r="M67" s="17"/>
      <c r="N67" s="17"/>
      <c r="O67" s="17"/>
      <c r="P67" s="17"/>
      <c r="Q67" s="17">
        <v>1</v>
      </c>
      <c r="R67" s="17">
        <v>1</v>
      </c>
      <c r="S67" s="17">
        <v>1</v>
      </c>
      <c r="T67" s="17">
        <v>2</v>
      </c>
      <c r="U67" s="17">
        <v>2</v>
      </c>
      <c r="V67" s="17">
        <v>3</v>
      </c>
      <c r="W67" s="17">
        <v>4</v>
      </c>
      <c r="X67" s="17">
        <v>4</v>
      </c>
      <c r="Y67" s="17">
        <v>4</v>
      </c>
      <c r="Z67" s="17">
        <v>5</v>
      </c>
      <c r="AA67" s="17">
        <v>5</v>
      </c>
      <c r="AB67" s="17">
        <v>5</v>
      </c>
      <c r="AC67" s="17">
        <v>6</v>
      </c>
      <c r="AD67" s="17">
        <v>6</v>
      </c>
      <c r="AE67" s="17">
        <v>6</v>
      </c>
      <c r="AF67" s="17">
        <v>7</v>
      </c>
      <c r="AG67" s="17">
        <v>7</v>
      </c>
      <c r="AH67" s="17">
        <v>7</v>
      </c>
      <c r="AI67" s="17">
        <v>8</v>
      </c>
      <c r="AJ67" s="17">
        <v>8</v>
      </c>
      <c r="AK67" s="17">
        <v>8</v>
      </c>
      <c r="AL67" s="17">
        <v>9</v>
      </c>
      <c r="AM67" s="17">
        <v>9</v>
      </c>
      <c r="AN67" s="17">
        <v>9</v>
      </c>
      <c r="AO67" s="17">
        <v>10</v>
      </c>
      <c r="AP67" s="17">
        <v>10</v>
      </c>
      <c r="AQ67" s="17">
        <v>10</v>
      </c>
      <c r="AR67" s="17">
        <v>10</v>
      </c>
      <c r="AS67" s="17">
        <v>11</v>
      </c>
      <c r="AT67" s="17">
        <v>11</v>
      </c>
      <c r="AU67" s="17">
        <v>12</v>
      </c>
      <c r="AV67" s="17">
        <v>12</v>
      </c>
      <c r="AW67" s="17">
        <v>13</v>
      </c>
      <c r="AX67" s="17">
        <v>13</v>
      </c>
      <c r="AY67" s="17">
        <v>14</v>
      </c>
      <c r="AZ67" s="17">
        <v>14</v>
      </c>
      <c r="BA67" s="17">
        <v>15</v>
      </c>
      <c r="BB67" s="17">
        <v>15</v>
      </c>
      <c r="BC67" s="17">
        <v>16</v>
      </c>
      <c r="BD67" s="17">
        <v>16</v>
      </c>
      <c r="BE67" s="17">
        <v>17</v>
      </c>
      <c r="BF67" s="17">
        <v>17</v>
      </c>
      <c r="BG67" s="17">
        <v>18</v>
      </c>
      <c r="BH67" s="17">
        <v>18</v>
      </c>
      <c r="BI67" s="17">
        <v>19</v>
      </c>
      <c r="BJ67" s="17">
        <v>19</v>
      </c>
      <c r="BK67" s="17">
        <v>20</v>
      </c>
      <c r="BL67" s="17">
        <v>20</v>
      </c>
      <c r="BM67" s="17">
        <v>20</v>
      </c>
      <c r="BN67" s="17">
        <v>20</v>
      </c>
      <c r="BO67" s="17">
        <v>20</v>
      </c>
      <c r="BP67" s="17">
        <v>20</v>
      </c>
    </row>
    <row r="68" spans="6:68" ht="15" x14ac:dyDescent="0.25">
      <c r="F68" s="22" t="s">
        <v>307</v>
      </c>
      <c r="G68" s="18" t="s">
        <v>84</v>
      </c>
      <c r="H68" s="28">
        <f>IFERROR(INDEX(tblStaff[Salary],MATCH(Assumptions!G68,tblStaff[Staff],0)),0)</f>
        <v>90000</v>
      </c>
      <c r="I68" s="17"/>
      <c r="J68" s="17"/>
      <c r="K68" s="17"/>
      <c r="L68" s="17"/>
      <c r="M68" s="17"/>
      <c r="N68" s="17"/>
      <c r="O68" s="17">
        <v>1</v>
      </c>
      <c r="P68" s="17">
        <v>1</v>
      </c>
      <c r="Q68" s="17">
        <v>1</v>
      </c>
      <c r="R68" s="17">
        <v>1</v>
      </c>
      <c r="S68" s="17">
        <v>1</v>
      </c>
      <c r="T68" s="17">
        <v>1</v>
      </c>
      <c r="U68" s="17">
        <v>2</v>
      </c>
      <c r="V68" s="17">
        <v>2</v>
      </c>
      <c r="W68" s="17">
        <v>2</v>
      </c>
      <c r="X68" s="17">
        <v>2</v>
      </c>
      <c r="Y68" s="17">
        <v>3</v>
      </c>
      <c r="Z68" s="17">
        <v>3</v>
      </c>
      <c r="AA68" s="17">
        <v>3</v>
      </c>
      <c r="AB68" s="17">
        <v>3</v>
      </c>
      <c r="AC68" s="17">
        <v>4</v>
      </c>
      <c r="AD68" s="17">
        <v>4</v>
      </c>
      <c r="AE68" s="17">
        <v>4</v>
      </c>
      <c r="AF68" s="17">
        <v>4</v>
      </c>
      <c r="AG68" s="17">
        <v>5</v>
      </c>
      <c r="AH68" s="17">
        <v>5</v>
      </c>
      <c r="AI68" s="17">
        <v>5</v>
      </c>
      <c r="AJ68" s="17">
        <v>5</v>
      </c>
      <c r="AK68" s="17">
        <v>6</v>
      </c>
      <c r="AL68" s="17">
        <v>6</v>
      </c>
      <c r="AM68" s="17">
        <v>6</v>
      </c>
      <c r="AN68" s="17">
        <v>6</v>
      </c>
      <c r="AO68" s="17">
        <f>AO67-2</f>
        <v>8</v>
      </c>
      <c r="AP68" s="17">
        <f t="shared" ref="AP68:BP68" si="7">AP67-2</f>
        <v>8</v>
      </c>
      <c r="AQ68" s="17">
        <f t="shared" si="7"/>
        <v>8</v>
      </c>
      <c r="AR68" s="17">
        <f t="shared" si="7"/>
        <v>8</v>
      </c>
      <c r="AS68" s="17">
        <f t="shared" si="7"/>
        <v>9</v>
      </c>
      <c r="AT68" s="17">
        <f t="shared" si="7"/>
        <v>9</v>
      </c>
      <c r="AU68" s="17">
        <f t="shared" si="7"/>
        <v>10</v>
      </c>
      <c r="AV68" s="17">
        <f t="shared" si="7"/>
        <v>10</v>
      </c>
      <c r="AW68" s="17">
        <f t="shared" si="7"/>
        <v>11</v>
      </c>
      <c r="AX68" s="17">
        <f t="shared" si="7"/>
        <v>11</v>
      </c>
      <c r="AY68" s="17">
        <f t="shared" si="7"/>
        <v>12</v>
      </c>
      <c r="AZ68" s="17">
        <f t="shared" si="7"/>
        <v>12</v>
      </c>
      <c r="BA68" s="17">
        <f t="shared" si="7"/>
        <v>13</v>
      </c>
      <c r="BB68" s="17">
        <f t="shared" si="7"/>
        <v>13</v>
      </c>
      <c r="BC68" s="17">
        <f t="shared" si="7"/>
        <v>14</v>
      </c>
      <c r="BD68" s="17">
        <f t="shared" si="7"/>
        <v>14</v>
      </c>
      <c r="BE68" s="17">
        <f t="shared" si="7"/>
        <v>15</v>
      </c>
      <c r="BF68" s="17">
        <f t="shared" si="7"/>
        <v>15</v>
      </c>
      <c r="BG68" s="17">
        <f t="shared" si="7"/>
        <v>16</v>
      </c>
      <c r="BH68" s="17">
        <f t="shared" si="7"/>
        <v>16</v>
      </c>
      <c r="BI68" s="17">
        <f t="shared" si="7"/>
        <v>17</v>
      </c>
      <c r="BJ68" s="17">
        <f t="shared" si="7"/>
        <v>17</v>
      </c>
      <c r="BK68" s="17">
        <f t="shared" si="7"/>
        <v>18</v>
      </c>
      <c r="BL68" s="17">
        <f t="shared" si="7"/>
        <v>18</v>
      </c>
      <c r="BM68" s="17">
        <f t="shared" si="7"/>
        <v>18</v>
      </c>
      <c r="BN68" s="17">
        <f t="shared" si="7"/>
        <v>18</v>
      </c>
      <c r="BO68" s="17">
        <f t="shared" si="7"/>
        <v>18</v>
      </c>
      <c r="BP68" s="17">
        <f t="shared" si="7"/>
        <v>18</v>
      </c>
    </row>
    <row r="69" spans="6:68" ht="15" x14ac:dyDescent="0.25">
      <c r="F69" s="22" t="s">
        <v>307</v>
      </c>
      <c r="G69" s="18" t="s">
        <v>85</v>
      </c>
      <c r="H69" s="28">
        <f>IFERROR(INDEX(tblStaff[Salary],MATCH(Assumptions!G69,tblStaff[Staff],0)),0)</f>
        <v>80000</v>
      </c>
      <c r="I69" s="17">
        <v>0.2</v>
      </c>
      <c r="J69" s="17">
        <v>0.2</v>
      </c>
      <c r="K69" s="17">
        <v>0.2</v>
      </c>
      <c r="L69" s="17">
        <v>0.5</v>
      </c>
      <c r="M69" s="17">
        <v>0.5</v>
      </c>
      <c r="N69" s="17">
        <v>1</v>
      </c>
      <c r="O69" s="17">
        <v>1</v>
      </c>
      <c r="P69" s="17">
        <v>2</v>
      </c>
      <c r="Q69" s="17">
        <v>2</v>
      </c>
      <c r="R69" s="17">
        <v>2</v>
      </c>
      <c r="S69" s="17">
        <v>2</v>
      </c>
      <c r="T69" s="17">
        <v>2</v>
      </c>
      <c r="U69" s="17">
        <v>2</v>
      </c>
      <c r="V69" s="17">
        <v>2</v>
      </c>
      <c r="W69" s="17">
        <v>2</v>
      </c>
      <c r="X69" s="17">
        <v>3</v>
      </c>
      <c r="Y69" s="17">
        <v>3</v>
      </c>
      <c r="Z69" s="17">
        <v>3</v>
      </c>
      <c r="AA69" s="17">
        <v>3</v>
      </c>
      <c r="AB69" s="17">
        <v>3</v>
      </c>
      <c r="AC69" s="17">
        <v>3</v>
      </c>
      <c r="AD69" s="17">
        <v>3</v>
      </c>
      <c r="AE69" s="17">
        <v>3</v>
      </c>
      <c r="AF69" s="17">
        <v>3</v>
      </c>
      <c r="AG69" s="17">
        <v>3</v>
      </c>
      <c r="AH69" s="17">
        <v>3</v>
      </c>
      <c r="AI69" s="17">
        <v>3</v>
      </c>
      <c r="AJ69" s="17">
        <v>3</v>
      </c>
      <c r="AK69" s="17">
        <v>4</v>
      </c>
      <c r="AL69" s="17">
        <v>4</v>
      </c>
      <c r="AM69" s="17">
        <v>4</v>
      </c>
      <c r="AN69" s="17">
        <v>4</v>
      </c>
      <c r="AO69" s="17">
        <v>4</v>
      </c>
      <c r="AP69" s="17">
        <v>4</v>
      </c>
      <c r="AQ69" s="17">
        <v>4</v>
      </c>
      <c r="AR69" s="17">
        <v>4</v>
      </c>
      <c r="AS69" s="17">
        <f>ROUNDDOWN(SUM(AS67:AS68)/4,0)</f>
        <v>5</v>
      </c>
      <c r="AT69" s="17">
        <f t="shared" ref="AT69:BP69" si="8">ROUNDDOWN(SUM(AT67:AT68)/4,0)</f>
        <v>5</v>
      </c>
      <c r="AU69" s="17">
        <f t="shared" si="8"/>
        <v>5</v>
      </c>
      <c r="AV69" s="17">
        <f t="shared" si="8"/>
        <v>5</v>
      </c>
      <c r="AW69" s="17">
        <f t="shared" si="8"/>
        <v>6</v>
      </c>
      <c r="AX69" s="17">
        <f t="shared" si="8"/>
        <v>6</v>
      </c>
      <c r="AY69" s="17">
        <f t="shared" si="8"/>
        <v>6</v>
      </c>
      <c r="AZ69" s="17">
        <f t="shared" si="8"/>
        <v>6</v>
      </c>
      <c r="BA69" s="17">
        <f t="shared" si="8"/>
        <v>7</v>
      </c>
      <c r="BB69" s="17">
        <f t="shared" si="8"/>
        <v>7</v>
      </c>
      <c r="BC69" s="17">
        <f t="shared" si="8"/>
        <v>7</v>
      </c>
      <c r="BD69" s="17">
        <f t="shared" si="8"/>
        <v>7</v>
      </c>
      <c r="BE69" s="17">
        <f t="shared" si="8"/>
        <v>8</v>
      </c>
      <c r="BF69" s="17">
        <f t="shared" si="8"/>
        <v>8</v>
      </c>
      <c r="BG69" s="17">
        <f t="shared" si="8"/>
        <v>8</v>
      </c>
      <c r="BH69" s="17">
        <f t="shared" si="8"/>
        <v>8</v>
      </c>
      <c r="BI69" s="17">
        <f t="shared" si="8"/>
        <v>9</v>
      </c>
      <c r="BJ69" s="17">
        <f t="shared" si="8"/>
        <v>9</v>
      </c>
      <c r="BK69" s="17">
        <f t="shared" si="8"/>
        <v>9</v>
      </c>
      <c r="BL69" s="17">
        <f t="shared" si="8"/>
        <v>9</v>
      </c>
      <c r="BM69" s="17">
        <f t="shared" si="8"/>
        <v>9</v>
      </c>
      <c r="BN69" s="17">
        <f t="shared" si="8"/>
        <v>9</v>
      </c>
      <c r="BO69" s="17">
        <f t="shared" si="8"/>
        <v>9</v>
      </c>
      <c r="BP69" s="17">
        <f t="shared" si="8"/>
        <v>9</v>
      </c>
    </row>
    <row r="70" spans="6:68" ht="15" x14ac:dyDescent="0.25">
      <c r="F70" s="22" t="s">
        <v>307</v>
      </c>
      <c r="G70" s="18" t="s">
        <v>86</v>
      </c>
      <c r="H70" s="28">
        <f>IFERROR(INDEX(tblStaff[Salary],MATCH(Assumptions!G70,tblStaff[Staff],0)),0)</f>
        <v>120000</v>
      </c>
      <c r="I70" s="17">
        <v>0.5</v>
      </c>
      <c r="J70" s="17">
        <v>0.5</v>
      </c>
      <c r="K70" s="17">
        <v>0.5</v>
      </c>
      <c r="L70" s="17">
        <v>1</v>
      </c>
      <c r="M70" s="17">
        <v>1</v>
      </c>
      <c r="N70" s="17">
        <v>1</v>
      </c>
      <c r="O70" s="17">
        <v>1</v>
      </c>
      <c r="P70" s="17">
        <v>1</v>
      </c>
      <c r="Q70" s="17">
        <v>1</v>
      </c>
      <c r="R70" s="17">
        <v>1</v>
      </c>
      <c r="S70" s="17">
        <v>1</v>
      </c>
      <c r="T70" s="17">
        <v>1</v>
      </c>
      <c r="U70" s="17">
        <v>1</v>
      </c>
      <c r="V70" s="17">
        <v>1</v>
      </c>
      <c r="W70" s="17">
        <v>1</v>
      </c>
      <c r="X70" s="17">
        <v>1</v>
      </c>
      <c r="Y70" s="17">
        <v>1</v>
      </c>
      <c r="Z70" s="17">
        <v>1</v>
      </c>
      <c r="AA70" s="17">
        <v>1</v>
      </c>
      <c r="AB70" s="17">
        <v>1</v>
      </c>
      <c r="AC70" s="17">
        <v>1</v>
      </c>
      <c r="AD70" s="17">
        <v>1</v>
      </c>
      <c r="AE70" s="17">
        <v>1</v>
      </c>
      <c r="AF70" s="17">
        <v>1</v>
      </c>
      <c r="AG70" s="17">
        <v>1</v>
      </c>
      <c r="AH70" s="17">
        <v>1</v>
      </c>
      <c r="AI70" s="17">
        <v>1</v>
      </c>
      <c r="AJ70" s="17">
        <v>1</v>
      </c>
      <c r="AK70" s="17">
        <v>1</v>
      </c>
      <c r="AL70" s="17">
        <v>1</v>
      </c>
      <c r="AM70" s="17">
        <v>1</v>
      </c>
      <c r="AN70" s="17">
        <v>1</v>
      </c>
      <c r="AO70" s="17">
        <v>1</v>
      </c>
      <c r="AP70" s="17">
        <v>1</v>
      </c>
      <c r="AQ70" s="17">
        <v>1</v>
      </c>
      <c r="AR70" s="17">
        <v>1</v>
      </c>
      <c r="AS70" s="17">
        <f>ROUNDUP(AS71/5,0)</f>
        <v>2</v>
      </c>
      <c r="AT70" s="17">
        <f t="shared" ref="AT70:BP70" si="9">ROUNDUP(AT71/5,0)</f>
        <v>2</v>
      </c>
      <c r="AU70" s="17">
        <f t="shared" si="9"/>
        <v>2</v>
      </c>
      <c r="AV70" s="17">
        <f t="shared" si="9"/>
        <v>2</v>
      </c>
      <c r="AW70" s="17">
        <f t="shared" si="9"/>
        <v>3</v>
      </c>
      <c r="AX70" s="17">
        <f t="shared" si="9"/>
        <v>3</v>
      </c>
      <c r="AY70" s="17">
        <f t="shared" si="9"/>
        <v>3</v>
      </c>
      <c r="AZ70" s="17">
        <f t="shared" si="9"/>
        <v>3</v>
      </c>
      <c r="BA70" s="17">
        <f t="shared" si="9"/>
        <v>3</v>
      </c>
      <c r="BB70" s="17">
        <f t="shared" si="9"/>
        <v>3</v>
      </c>
      <c r="BC70" s="17">
        <f t="shared" si="9"/>
        <v>3</v>
      </c>
      <c r="BD70" s="17">
        <f t="shared" si="9"/>
        <v>3</v>
      </c>
      <c r="BE70" s="17">
        <f t="shared" si="9"/>
        <v>3</v>
      </c>
      <c r="BF70" s="17">
        <f t="shared" si="9"/>
        <v>3</v>
      </c>
      <c r="BG70" s="17">
        <f t="shared" si="9"/>
        <v>4</v>
      </c>
      <c r="BH70" s="17">
        <f t="shared" si="9"/>
        <v>4</v>
      </c>
      <c r="BI70" s="17">
        <f t="shared" si="9"/>
        <v>4</v>
      </c>
      <c r="BJ70" s="17">
        <f t="shared" si="9"/>
        <v>4</v>
      </c>
      <c r="BK70" s="17">
        <f t="shared" si="9"/>
        <v>4</v>
      </c>
      <c r="BL70" s="17">
        <f t="shared" si="9"/>
        <v>4</v>
      </c>
      <c r="BM70" s="17">
        <f t="shared" si="9"/>
        <v>4</v>
      </c>
      <c r="BN70" s="17">
        <f t="shared" si="9"/>
        <v>4</v>
      </c>
      <c r="BO70" s="17">
        <f t="shared" si="9"/>
        <v>4</v>
      </c>
      <c r="BP70" s="17">
        <f t="shared" si="9"/>
        <v>4</v>
      </c>
    </row>
    <row r="71" spans="6:68" ht="15" x14ac:dyDescent="0.25">
      <c r="F71" s="22" t="s">
        <v>307</v>
      </c>
      <c r="G71" s="18" t="s">
        <v>87</v>
      </c>
      <c r="H71" s="28">
        <f>IFERROR(INDEX(tblStaff[Salary],MATCH(Assumptions!G71,tblStaff[Staff],0)),0)</f>
        <v>100000</v>
      </c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>
        <v>1</v>
      </c>
      <c r="V71" s="17">
        <v>1</v>
      </c>
      <c r="W71" s="17">
        <v>1</v>
      </c>
      <c r="X71" s="17">
        <v>1</v>
      </c>
      <c r="Y71" s="17">
        <v>1</v>
      </c>
      <c r="Z71" s="17">
        <v>1</v>
      </c>
      <c r="AA71" s="17">
        <v>1</v>
      </c>
      <c r="AB71" s="17">
        <v>1</v>
      </c>
      <c r="AC71" s="17">
        <v>2</v>
      </c>
      <c r="AD71" s="17">
        <v>2</v>
      </c>
      <c r="AE71" s="17">
        <v>2</v>
      </c>
      <c r="AF71" s="17">
        <v>3</v>
      </c>
      <c r="AG71" s="17">
        <v>3</v>
      </c>
      <c r="AH71" s="17">
        <v>3</v>
      </c>
      <c r="AI71" s="17">
        <v>4</v>
      </c>
      <c r="AJ71" s="17">
        <v>4</v>
      </c>
      <c r="AK71" s="17">
        <v>4</v>
      </c>
      <c r="AL71" s="17">
        <v>5</v>
      </c>
      <c r="AM71" s="17">
        <v>5</v>
      </c>
      <c r="AN71" s="17">
        <v>5</v>
      </c>
      <c r="AO71" s="17">
        <v>6</v>
      </c>
      <c r="AP71" s="17">
        <v>6</v>
      </c>
      <c r="AQ71" s="17">
        <v>6</v>
      </c>
      <c r="AR71" s="17">
        <v>6</v>
      </c>
      <c r="AS71" s="17">
        <f>AS68</f>
        <v>9</v>
      </c>
      <c r="AT71" s="17">
        <f t="shared" ref="AT71:BP71" si="10">AT68</f>
        <v>9</v>
      </c>
      <c r="AU71" s="17">
        <f t="shared" si="10"/>
        <v>10</v>
      </c>
      <c r="AV71" s="17">
        <f t="shared" si="10"/>
        <v>10</v>
      </c>
      <c r="AW71" s="17">
        <f t="shared" si="10"/>
        <v>11</v>
      </c>
      <c r="AX71" s="17">
        <f t="shared" si="10"/>
        <v>11</v>
      </c>
      <c r="AY71" s="17">
        <f t="shared" si="10"/>
        <v>12</v>
      </c>
      <c r="AZ71" s="17">
        <f t="shared" si="10"/>
        <v>12</v>
      </c>
      <c r="BA71" s="17">
        <f t="shared" si="10"/>
        <v>13</v>
      </c>
      <c r="BB71" s="17">
        <f t="shared" si="10"/>
        <v>13</v>
      </c>
      <c r="BC71" s="17">
        <f t="shared" si="10"/>
        <v>14</v>
      </c>
      <c r="BD71" s="17">
        <f t="shared" si="10"/>
        <v>14</v>
      </c>
      <c r="BE71" s="17">
        <f t="shared" si="10"/>
        <v>15</v>
      </c>
      <c r="BF71" s="17">
        <f t="shared" si="10"/>
        <v>15</v>
      </c>
      <c r="BG71" s="17">
        <f t="shared" si="10"/>
        <v>16</v>
      </c>
      <c r="BH71" s="17">
        <f t="shared" si="10"/>
        <v>16</v>
      </c>
      <c r="BI71" s="17">
        <f t="shared" si="10"/>
        <v>17</v>
      </c>
      <c r="BJ71" s="17">
        <f t="shared" si="10"/>
        <v>17</v>
      </c>
      <c r="BK71" s="17">
        <f t="shared" si="10"/>
        <v>18</v>
      </c>
      <c r="BL71" s="17">
        <f t="shared" si="10"/>
        <v>18</v>
      </c>
      <c r="BM71" s="17">
        <f t="shared" si="10"/>
        <v>18</v>
      </c>
      <c r="BN71" s="17">
        <f t="shared" si="10"/>
        <v>18</v>
      </c>
      <c r="BO71" s="17">
        <f t="shared" si="10"/>
        <v>18</v>
      </c>
      <c r="BP71" s="17">
        <f t="shared" si="10"/>
        <v>18</v>
      </c>
    </row>
    <row r="72" spans="6:68" ht="15" x14ac:dyDescent="0.25">
      <c r="F72" s="22"/>
      <c r="G72" s="18"/>
      <c r="H72" s="28">
        <f>IFERROR(INDEX(tblStaff[Salary],MATCH(Assumptions!G72,tblStaff[Staff],0)),0)</f>
        <v>0</v>
      </c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  <c r="AV72" s="17"/>
      <c r="AW72" s="17"/>
      <c r="AX72" s="17"/>
      <c r="AY72" s="17"/>
      <c r="AZ72" s="17"/>
      <c r="BA72" s="17"/>
      <c r="BB72" s="17"/>
      <c r="BC72" s="17"/>
      <c r="BD72" s="17"/>
      <c r="BE72" s="17"/>
      <c r="BF72" s="17"/>
      <c r="BG72" s="17"/>
      <c r="BH72" s="17"/>
      <c r="BI72" s="17"/>
      <c r="BJ72" s="17"/>
      <c r="BK72" s="17"/>
      <c r="BL72" s="17"/>
      <c r="BM72" s="17"/>
      <c r="BN72" s="17"/>
      <c r="BO72" s="17"/>
      <c r="BP72" s="17"/>
    </row>
    <row r="73" spans="6:68" ht="15" x14ac:dyDescent="0.25">
      <c r="F73" s="22" t="s">
        <v>307</v>
      </c>
      <c r="G73" s="18" t="s">
        <v>100</v>
      </c>
      <c r="H73" s="28">
        <f>IFERROR(INDEX(tblStaff[Salary],MATCH(Assumptions!G73,tblStaff[Staff],0)),0)</f>
        <v>150000</v>
      </c>
      <c r="I73" s="17">
        <v>0.5</v>
      </c>
      <c r="J73" s="17">
        <v>0.5</v>
      </c>
      <c r="K73" s="17">
        <v>0.5</v>
      </c>
      <c r="L73" s="17">
        <v>1</v>
      </c>
      <c r="M73" s="17">
        <v>1</v>
      </c>
      <c r="N73" s="17">
        <v>1</v>
      </c>
      <c r="O73" s="17">
        <v>1</v>
      </c>
      <c r="P73" s="17">
        <v>1</v>
      </c>
      <c r="Q73" s="17">
        <v>1</v>
      </c>
      <c r="R73" s="17">
        <v>1</v>
      </c>
      <c r="S73" s="17">
        <v>1</v>
      </c>
      <c r="T73" s="17">
        <v>1</v>
      </c>
      <c r="U73" s="17">
        <v>1</v>
      </c>
      <c r="V73" s="17">
        <v>1</v>
      </c>
      <c r="W73" s="17">
        <v>1</v>
      </c>
      <c r="X73" s="17">
        <v>1</v>
      </c>
      <c r="Y73" s="17">
        <v>1</v>
      </c>
      <c r="Z73" s="17">
        <v>1</v>
      </c>
      <c r="AA73" s="17">
        <v>1</v>
      </c>
      <c r="AB73" s="17">
        <v>1</v>
      </c>
      <c r="AC73" s="17">
        <v>1</v>
      </c>
      <c r="AD73" s="17">
        <v>1</v>
      </c>
      <c r="AE73" s="17">
        <v>1</v>
      </c>
      <c r="AF73" s="17">
        <v>1</v>
      </c>
      <c r="AG73" s="17">
        <v>1</v>
      </c>
      <c r="AH73" s="17">
        <v>1</v>
      </c>
      <c r="AI73" s="17">
        <v>1</v>
      </c>
      <c r="AJ73" s="17">
        <v>1</v>
      </c>
      <c r="AK73" s="17">
        <v>1</v>
      </c>
      <c r="AL73" s="17">
        <v>1</v>
      </c>
      <c r="AM73" s="17">
        <v>1</v>
      </c>
      <c r="AN73" s="17">
        <v>1</v>
      </c>
      <c r="AO73" s="17">
        <v>1</v>
      </c>
      <c r="AP73" s="17">
        <v>1</v>
      </c>
      <c r="AQ73" s="17">
        <v>1</v>
      </c>
      <c r="AR73" s="17">
        <v>1</v>
      </c>
      <c r="AS73" s="17">
        <v>1</v>
      </c>
      <c r="AT73" s="17">
        <v>1</v>
      </c>
      <c r="AU73" s="17">
        <v>1</v>
      </c>
      <c r="AV73" s="17">
        <v>1</v>
      </c>
      <c r="AW73" s="17">
        <v>1</v>
      </c>
      <c r="AX73" s="17">
        <v>1</v>
      </c>
      <c r="AY73" s="17">
        <v>1</v>
      </c>
      <c r="AZ73" s="17">
        <v>1</v>
      </c>
      <c r="BA73" s="17">
        <v>1</v>
      </c>
      <c r="BB73" s="17">
        <v>1</v>
      </c>
      <c r="BC73" s="17">
        <v>1</v>
      </c>
      <c r="BD73" s="17">
        <v>1</v>
      </c>
      <c r="BE73" s="17">
        <v>1</v>
      </c>
      <c r="BF73" s="17">
        <v>1</v>
      </c>
      <c r="BG73" s="17">
        <v>1</v>
      </c>
      <c r="BH73" s="17">
        <v>1</v>
      </c>
      <c r="BI73" s="17">
        <v>1</v>
      </c>
      <c r="BJ73" s="17">
        <v>1</v>
      </c>
      <c r="BK73" s="17">
        <v>1</v>
      </c>
      <c r="BL73" s="17">
        <v>1</v>
      </c>
      <c r="BM73" s="17">
        <v>1</v>
      </c>
      <c r="BN73" s="17">
        <v>1</v>
      </c>
      <c r="BO73" s="17">
        <v>1</v>
      </c>
      <c r="BP73" s="17">
        <v>1</v>
      </c>
    </row>
    <row r="74" spans="6:68" ht="15" x14ac:dyDescent="0.25">
      <c r="F74" s="22" t="s">
        <v>307</v>
      </c>
      <c r="G74" s="18" t="s">
        <v>101</v>
      </c>
      <c r="H74" s="28">
        <f>IFERROR(INDEX(tblStaff[Salary],MATCH(Assumptions!G74,tblStaff[Staff],0)),0)</f>
        <v>80000</v>
      </c>
      <c r="I74" s="17"/>
      <c r="J74" s="17"/>
      <c r="K74" s="17"/>
      <c r="L74" s="17">
        <v>0.5</v>
      </c>
      <c r="M74" s="17">
        <v>0.5</v>
      </c>
      <c r="N74" s="17">
        <v>0.5</v>
      </c>
      <c r="O74" s="17">
        <v>1</v>
      </c>
      <c r="P74" s="17">
        <v>1</v>
      </c>
      <c r="Q74" s="17">
        <v>1</v>
      </c>
      <c r="R74" s="17">
        <v>1</v>
      </c>
      <c r="S74" s="17">
        <v>1</v>
      </c>
      <c r="T74" s="17">
        <v>1</v>
      </c>
      <c r="U74" s="17">
        <v>1</v>
      </c>
      <c r="V74" s="17">
        <v>1</v>
      </c>
      <c r="W74" s="17">
        <v>1</v>
      </c>
      <c r="X74" s="17">
        <v>1</v>
      </c>
      <c r="Y74" s="17">
        <v>1</v>
      </c>
      <c r="Z74" s="17">
        <v>1</v>
      </c>
      <c r="AA74" s="17">
        <v>1</v>
      </c>
      <c r="AB74" s="17">
        <v>1</v>
      </c>
      <c r="AC74" s="17">
        <v>1</v>
      </c>
      <c r="AD74" s="17">
        <v>1</v>
      </c>
      <c r="AE74" s="17">
        <v>1</v>
      </c>
      <c r="AF74" s="17">
        <v>1</v>
      </c>
      <c r="AG74" s="17">
        <v>1</v>
      </c>
      <c r="AH74" s="17">
        <v>1</v>
      </c>
      <c r="AI74" s="17">
        <v>1</v>
      </c>
      <c r="AJ74" s="17">
        <v>1</v>
      </c>
      <c r="AK74" s="17">
        <v>1</v>
      </c>
      <c r="AL74" s="17">
        <v>1</v>
      </c>
      <c r="AM74" s="17">
        <v>1</v>
      </c>
      <c r="AN74" s="17">
        <v>1</v>
      </c>
      <c r="AO74" s="17">
        <v>1</v>
      </c>
      <c r="AP74" s="17">
        <v>1</v>
      </c>
      <c r="AQ74" s="17">
        <v>1</v>
      </c>
      <c r="AR74" s="17">
        <v>1</v>
      </c>
      <c r="AS74" s="17">
        <v>1</v>
      </c>
      <c r="AT74" s="17">
        <v>1</v>
      </c>
      <c r="AU74" s="17">
        <v>1</v>
      </c>
      <c r="AV74" s="17">
        <v>1</v>
      </c>
      <c r="AW74" s="17">
        <v>1</v>
      </c>
      <c r="AX74" s="17">
        <v>1</v>
      </c>
      <c r="AY74" s="17">
        <v>1</v>
      </c>
      <c r="AZ74" s="17">
        <v>1</v>
      </c>
      <c r="BA74" s="17">
        <v>1</v>
      </c>
      <c r="BB74" s="17">
        <v>1</v>
      </c>
      <c r="BC74" s="17">
        <v>1</v>
      </c>
      <c r="BD74" s="17">
        <v>1</v>
      </c>
      <c r="BE74" s="17">
        <v>1</v>
      </c>
      <c r="BF74" s="17">
        <v>1</v>
      </c>
      <c r="BG74" s="17">
        <v>1</v>
      </c>
      <c r="BH74" s="17">
        <v>1</v>
      </c>
      <c r="BI74" s="17">
        <v>1</v>
      </c>
      <c r="BJ74" s="17">
        <v>1</v>
      </c>
      <c r="BK74" s="17">
        <v>1</v>
      </c>
      <c r="BL74" s="17">
        <v>1</v>
      </c>
      <c r="BM74" s="17">
        <v>1</v>
      </c>
      <c r="BN74" s="17">
        <v>1</v>
      </c>
      <c r="BO74" s="17">
        <v>1</v>
      </c>
      <c r="BP74" s="17">
        <v>1</v>
      </c>
    </row>
    <row r="75" spans="6:68" ht="15" x14ac:dyDescent="0.25">
      <c r="F75" s="22" t="s">
        <v>307</v>
      </c>
      <c r="G75" s="18" t="s">
        <v>102</v>
      </c>
      <c r="H75" s="28">
        <f>IFERROR(INDEX(tblStaff[Salary],MATCH(Assumptions!G75,tblStaff[Staff],0)),0)</f>
        <v>60000</v>
      </c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>
        <v>1</v>
      </c>
      <c r="AA75" s="17">
        <v>1</v>
      </c>
      <c r="AB75" s="17">
        <v>1</v>
      </c>
      <c r="AC75" s="17">
        <v>1</v>
      </c>
      <c r="AD75" s="17">
        <v>1</v>
      </c>
      <c r="AE75" s="17">
        <v>1</v>
      </c>
      <c r="AF75" s="17">
        <v>1</v>
      </c>
      <c r="AG75" s="17">
        <v>1</v>
      </c>
      <c r="AH75" s="17">
        <v>1</v>
      </c>
      <c r="AI75" s="17">
        <v>1</v>
      </c>
      <c r="AJ75" s="17">
        <v>1</v>
      </c>
      <c r="AK75" s="17">
        <v>1</v>
      </c>
      <c r="AL75" s="17">
        <v>1</v>
      </c>
      <c r="AM75" s="17">
        <v>1</v>
      </c>
      <c r="AN75" s="17">
        <v>1</v>
      </c>
      <c r="AO75" s="17">
        <v>1</v>
      </c>
      <c r="AP75" s="17">
        <v>1</v>
      </c>
      <c r="AQ75" s="17">
        <v>1</v>
      </c>
      <c r="AR75" s="17">
        <v>1</v>
      </c>
      <c r="AS75" s="17">
        <f>AS70</f>
        <v>2</v>
      </c>
      <c r="AT75" s="17">
        <f t="shared" ref="AT75:BP75" si="11">AT70</f>
        <v>2</v>
      </c>
      <c r="AU75" s="17">
        <f t="shared" si="11"/>
        <v>2</v>
      </c>
      <c r="AV75" s="17">
        <f t="shared" si="11"/>
        <v>2</v>
      </c>
      <c r="AW75" s="17">
        <f t="shared" si="11"/>
        <v>3</v>
      </c>
      <c r="AX75" s="17">
        <f t="shared" si="11"/>
        <v>3</v>
      </c>
      <c r="AY75" s="17">
        <f t="shared" si="11"/>
        <v>3</v>
      </c>
      <c r="AZ75" s="17">
        <f t="shared" si="11"/>
        <v>3</v>
      </c>
      <c r="BA75" s="17">
        <f t="shared" si="11"/>
        <v>3</v>
      </c>
      <c r="BB75" s="17">
        <f t="shared" si="11"/>
        <v>3</v>
      </c>
      <c r="BC75" s="17">
        <f t="shared" si="11"/>
        <v>3</v>
      </c>
      <c r="BD75" s="17">
        <f t="shared" si="11"/>
        <v>3</v>
      </c>
      <c r="BE75" s="17">
        <f t="shared" si="11"/>
        <v>3</v>
      </c>
      <c r="BF75" s="17">
        <f t="shared" si="11"/>
        <v>3</v>
      </c>
      <c r="BG75" s="17">
        <f t="shared" si="11"/>
        <v>4</v>
      </c>
      <c r="BH75" s="17">
        <f t="shared" si="11"/>
        <v>4</v>
      </c>
      <c r="BI75" s="17">
        <f t="shared" si="11"/>
        <v>4</v>
      </c>
      <c r="BJ75" s="17">
        <f t="shared" si="11"/>
        <v>4</v>
      </c>
      <c r="BK75" s="17">
        <f t="shared" si="11"/>
        <v>4</v>
      </c>
      <c r="BL75" s="17">
        <f t="shared" si="11"/>
        <v>4</v>
      </c>
      <c r="BM75" s="17">
        <f t="shared" si="11"/>
        <v>4</v>
      </c>
      <c r="BN75" s="17">
        <f t="shared" si="11"/>
        <v>4</v>
      </c>
      <c r="BO75" s="17">
        <f t="shared" si="11"/>
        <v>4</v>
      </c>
      <c r="BP75" s="17">
        <f t="shared" si="11"/>
        <v>4</v>
      </c>
    </row>
    <row r="76" spans="6:68" ht="15" x14ac:dyDescent="0.25">
      <c r="F76" s="22" t="s">
        <v>307</v>
      </c>
      <c r="G76" s="18" t="s">
        <v>103</v>
      </c>
      <c r="H76" s="28">
        <f>IFERROR(INDEX(tblStaff[Salary],MATCH(Assumptions!G76,tblStaff[Staff],0)),0)</f>
        <v>60000</v>
      </c>
      <c r="I76" s="17">
        <v>0.2</v>
      </c>
      <c r="J76" s="17">
        <v>0.2</v>
      </c>
      <c r="K76" s="17">
        <v>0.2</v>
      </c>
      <c r="L76" s="17">
        <v>0.2</v>
      </c>
      <c r="M76" s="17">
        <v>0.2</v>
      </c>
      <c r="N76" s="17">
        <v>0.5</v>
      </c>
      <c r="O76" s="17">
        <v>0.5</v>
      </c>
      <c r="P76" s="17">
        <v>0.5</v>
      </c>
      <c r="Q76" s="17">
        <v>1</v>
      </c>
      <c r="R76" s="17">
        <v>1</v>
      </c>
      <c r="S76" s="17">
        <v>1</v>
      </c>
      <c r="T76" s="17">
        <v>2</v>
      </c>
      <c r="U76" s="17">
        <v>2</v>
      </c>
      <c r="V76" s="17">
        <v>2</v>
      </c>
      <c r="W76" s="17">
        <v>3</v>
      </c>
      <c r="X76" s="17">
        <v>3</v>
      </c>
      <c r="Y76" s="17">
        <v>3</v>
      </c>
      <c r="Z76" s="17">
        <v>4</v>
      </c>
      <c r="AA76" s="17">
        <v>4</v>
      </c>
      <c r="AB76" s="17">
        <v>4</v>
      </c>
      <c r="AC76" s="17">
        <v>4</v>
      </c>
      <c r="AD76" s="17">
        <v>4</v>
      </c>
      <c r="AE76" s="17">
        <v>4</v>
      </c>
      <c r="AF76" s="17">
        <v>4</v>
      </c>
      <c r="AG76" s="17">
        <f>ROUNDUP(SUM(AG66:AG75)/7,0)</f>
        <v>4</v>
      </c>
      <c r="AH76" s="17">
        <f t="shared" ref="AH76:BP76" si="12">ROUNDUP(SUM(AH66:AH75)/7,0)</f>
        <v>4</v>
      </c>
      <c r="AI76" s="17">
        <f t="shared" si="12"/>
        <v>4</v>
      </c>
      <c r="AJ76" s="17">
        <f t="shared" si="12"/>
        <v>4</v>
      </c>
      <c r="AK76" s="17">
        <f t="shared" si="12"/>
        <v>4</v>
      </c>
      <c r="AL76" s="17">
        <f t="shared" si="12"/>
        <v>5</v>
      </c>
      <c r="AM76" s="17">
        <f t="shared" si="12"/>
        <v>5</v>
      </c>
      <c r="AN76" s="17">
        <f t="shared" si="12"/>
        <v>5</v>
      </c>
      <c r="AO76" s="17">
        <f t="shared" si="12"/>
        <v>5</v>
      </c>
      <c r="AP76" s="17">
        <f t="shared" si="12"/>
        <v>5</v>
      </c>
      <c r="AQ76" s="17">
        <f t="shared" si="12"/>
        <v>5</v>
      </c>
      <c r="AR76" s="17">
        <f t="shared" si="12"/>
        <v>5</v>
      </c>
      <c r="AS76" s="17">
        <f t="shared" si="12"/>
        <v>6</v>
      </c>
      <c r="AT76" s="17">
        <f t="shared" si="12"/>
        <v>6</v>
      </c>
      <c r="AU76" s="17">
        <f t="shared" si="12"/>
        <v>7</v>
      </c>
      <c r="AV76" s="17">
        <f t="shared" si="12"/>
        <v>7</v>
      </c>
      <c r="AW76" s="17">
        <f t="shared" si="12"/>
        <v>8</v>
      </c>
      <c r="AX76" s="17">
        <f t="shared" si="12"/>
        <v>8</v>
      </c>
      <c r="AY76" s="17">
        <f t="shared" si="12"/>
        <v>8</v>
      </c>
      <c r="AZ76" s="17">
        <f t="shared" si="12"/>
        <v>8</v>
      </c>
      <c r="BA76" s="17">
        <f t="shared" si="12"/>
        <v>9</v>
      </c>
      <c r="BB76" s="17">
        <f t="shared" si="12"/>
        <v>9</v>
      </c>
      <c r="BC76" s="17">
        <f t="shared" si="12"/>
        <v>9</v>
      </c>
      <c r="BD76" s="17">
        <f t="shared" si="12"/>
        <v>9</v>
      </c>
      <c r="BE76" s="17">
        <f t="shared" si="12"/>
        <v>10</v>
      </c>
      <c r="BF76" s="17">
        <f t="shared" si="12"/>
        <v>10</v>
      </c>
      <c r="BG76" s="17">
        <f t="shared" si="12"/>
        <v>10</v>
      </c>
      <c r="BH76" s="17">
        <f t="shared" si="12"/>
        <v>10</v>
      </c>
      <c r="BI76" s="17">
        <f t="shared" si="12"/>
        <v>11</v>
      </c>
      <c r="BJ76" s="17">
        <f t="shared" si="12"/>
        <v>11</v>
      </c>
      <c r="BK76" s="17">
        <f t="shared" si="12"/>
        <v>11</v>
      </c>
      <c r="BL76" s="17">
        <f t="shared" si="12"/>
        <v>11</v>
      </c>
      <c r="BM76" s="17">
        <f t="shared" si="12"/>
        <v>11</v>
      </c>
      <c r="BN76" s="17">
        <f t="shared" si="12"/>
        <v>11</v>
      </c>
      <c r="BO76" s="17">
        <f t="shared" si="12"/>
        <v>11</v>
      </c>
      <c r="BP76" s="17">
        <f t="shared" si="12"/>
        <v>11</v>
      </c>
    </row>
    <row r="77" spans="6:68" ht="15" x14ac:dyDescent="0.25">
      <c r="F77" s="22"/>
      <c r="G77" s="18"/>
      <c r="H77" s="28">
        <f>IFERROR(INDEX(tblStaff[Salary],MATCH(Assumptions!G77,tblStaff[Staff],0)),0)</f>
        <v>0</v>
      </c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7"/>
      <c r="AM77" s="17"/>
      <c r="AN77" s="17"/>
      <c r="AO77" s="17"/>
      <c r="AP77" s="17"/>
      <c r="AQ77" s="17"/>
      <c r="AR77" s="17"/>
      <c r="AS77" s="17"/>
      <c r="AT77" s="17"/>
      <c r="AU77" s="17"/>
      <c r="AV77" s="17"/>
      <c r="AW77" s="17"/>
      <c r="AX77" s="17"/>
      <c r="AY77" s="17"/>
      <c r="AZ77" s="17"/>
      <c r="BA77" s="17"/>
      <c r="BB77" s="17"/>
      <c r="BC77" s="17"/>
      <c r="BD77" s="17"/>
      <c r="BE77" s="17"/>
      <c r="BF77" s="17"/>
      <c r="BG77" s="17"/>
      <c r="BH77" s="17"/>
      <c r="BI77" s="17"/>
      <c r="BJ77" s="17"/>
      <c r="BK77" s="17"/>
      <c r="BL77" s="17"/>
      <c r="BM77" s="17"/>
      <c r="BN77" s="17"/>
      <c r="BO77" s="17"/>
      <c r="BP77" s="17"/>
    </row>
    <row r="78" spans="6:68" ht="15" x14ac:dyDescent="0.25">
      <c r="F78" s="22"/>
      <c r="G78" s="18"/>
      <c r="H78" s="28">
        <f>IFERROR(INDEX(tblStaff[Salary],MATCH(Assumptions!G78,tblStaff[Staff],0)),0)</f>
        <v>0</v>
      </c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7"/>
      <c r="AL78" s="17"/>
      <c r="AM78" s="17"/>
      <c r="AN78" s="17"/>
      <c r="AO78" s="17"/>
      <c r="AP78" s="17"/>
      <c r="AQ78" s="17"/>
      <c r="AR78" s="17"/>
      <c r="AS78" s="17"/>
      <c r="AT78" s="17"/>
      <c r="AU78" s="17"/>
      <c r="AV78" s="17"/>
      <c r="AW78" s="17"/>
      <c r="AX78" s="17"/>
      <c r="AY78" s="17"/>
      <c r="AZ78" s="17"/>
      <c r="BA78" s="17"/>
      <c r="BB78" s="17"/>
      <c r="BC78" s="17"/>
      <c r="BD78" s="17"/>
      <c r="BE78" s="17"/>
      <c r="BF78" s="17"/>
      <c r="BG78" s="17"/>
      <c r="BH78" s="17"/>
      <c r="BI78" s="17"/>
      <c r="BJ78" s="17"/>
      <c r="BK78" s="17"/>
      <c r="BL78" s="17"/>
      <c r="BM78" s="17"/>
      <c r="BN78" s="17"/>
      <c r="BO78" s="17"/>
      <c r="BP78" s="17"/>
    </row>
    <row r="79" spans="6:68" ht="15" x14ac:dyDescent="0.25">
      <c r="F79" s="22" t="s">
        <v>251</v>
      </c>
      <c r="G79" s="18" t="s">
        <v>82</v>
      </c>
      <c r="H79" s="28">
        <f>IFERROR(INDEX(tblStaff[Salary],MATCH(Assumptions!G79,tblStaff[Staff],0)),0)</f>
        <v>120000</v>
      </c>
      <c r="I79" s="17">
        <v>0</v>
      </c>
      <c r="J79" s="17">
        <v>1</v>
      </c>
      <c r="K79" s="17">
        <v>1</v>
      </c>
      <c r="L79" s="17">
        <v>1</v>
      </c>
      <c r="M79" s="17">
        <v>1</v>
      </c>
      <c r="N79" s="17">
        <v>1</v>
      </c>
      <c r="O79" s="17">
        <v>1</v>
      </c>
      <c r="P79" s="17">
        <v>1</v>
      </c>
      <c r="Q79" s="17">
        <v>1</v>
      </c>
      <c r="R79" s="17">
        <v>1</v>
      </c>
      <c r="S79" s="17">
        <v>1</v>
      </c>
      <c r="T79" s="17">
        <v>1</v>
      </c>
      <c r="U79" s="17">
        <v>1</v>
      </c>
      <c r="V79" s="17">
        <v>1</v>
      </c>
      <c r="W79" s="17">
        <v>1</v>
      </c>
      <c r="X79" s="17">
        <v>1</v>
      </c>
      <c r="Y79" s="17">
        <v>1</v>
      </c>
      <c r="Z79" s="17">
        <v>1</v>
      </c>
      <c r="AA79" s="17">
        <v>1</v>
      </c>
      <c r="AB79" s="17">
        <v>1</v>
      </c>
      <c r="AC79" s="17">
        <v>1</v>
      </c>
      <c r="AD79" s="17">
        <v>1</v>
      </c>
      <c r="AE79" s="17">
        <v>1</v>
      </c>
      <c r="AF79" s="17">
        <v>1</v>
      </c>
      <c r="AG79" s="17">
        <v>1</v>
      </c>
      <c r="AH79" s="17">
        <v>1</v>
      </c>
      <c r="AI79" s="17">
        <v>1</v>
      </c>
      <c r="AJ79" s="17">
        <v>1</v>
      </c>
      <c r="AK79" s="17">
        <v>1</v>
      </c>
      <c r="AL79" s="17">
        <v>1</v>
      </c>
      <c r="AM79" s="17">
        <v>1</v>
      </c>
      <c r="AN79" s="17">
        <v>1</v>
      </c>
      <c r="AO79" s="17">
        <v>1</v>
      </c>
      <c r="AP79" s="17">
        <v>1</v>
      </c>
      <c r="AQ79" s="17">
        <v>1</v>
      </c>
      <c r="AR79" s="17">
        <v>1</v>
      </c>
      <c r="AS79" s="17">
        <v>1</v>
      </c>
      <c r="AT79" s="17">
        <v>1</v>
      </c>
      <c r="AU79" s="17">
        <v>1</v>
      </c>
      <c r="AV79" s="17">
        <v>1</v>
      </c>
      <c r="AW79" s="17">
        <v>1</v>
      </c>
      <c r="AX79" s="17">
        <v>1</v>
      </c>
      <c r="AY79" s="17">
        <v>1</v>
      </c>
      <c r="AZ79" s="17">
        <v>1</v>
      </c>
      <c r="BA79" s="17">
        <v>1</v>
      </c>
      <c r="BB79" s="17">
        <v>1</v>
      </c>
      <c r="BC79" s="17">
        <v>1</v>
      </c>
      <c r="BD79" s="17">
        <v>1</v>
      </c>
      <c r="BE79" s="17">
        <v>1</v>
      </c>
      <c r="BF79" s="17">
        <v>1</v>
      </c>
      <c r="BG79" s="17">
        <v>1</v>
      </c>
      <c r="BH79" s="17">
        <v>1</v>
      </c>
      <c r="BI79" s="17">
        <v>1</v>
      </c>
      <c r="BJ79" s="17">
        <v>1</v>
      </c>
      <c r="BK79" s="17">
        <v>1</v>
      </c>
      <c r="BL79" s="17">
        <v>1</v>
      </c>
      <c r="BM79" s="17">
        <v>1</v>
      </c>
      <c r="BN79" s="17">
        <v>1</v>
      </c>
      <c r="BO79" s="17">
        <v>1</v>
      </c>
      <c r="BP79" s="17">
        <v>1</v>
      </c>
    </row>
    <row r="80" spans="6:68" ht="15" x14ac:dyDescent="0.25">
      <c r="F80" s="22" t="s">
        <v>251</v>
      </c>
      <c r="G80" s="18" t="s">
        <v>83</v>
      </c>
      <c r="H80" s="28">
        <f>IFERROR(INDEX(tblStaff[Salary],MATCH(Assumptions!G80,tblStaff[Staff],0)),0)</f>
        <v>100000</v>
      </c>
      <c r="I80" s="17"/>
      <c r="J80" s="17"/>
      <c r="K80" s="17">
        <v>1</v>
      </c>
      <c r="L80" s="17">
        <v>2</v>
      </c>
      <c r="M80" s="17">
        <v>2</v>
      </c>
      <c r="N80" s="17">
        <v>3</v>
      </c>
      <c r="O80" s="17">
        <v>4</v>
      </c>
      <c r="P80" s="17">
        <v>4</v>
      </c>
      <c r="Q80" s="17">
        <v>5</v>
      </c>
      <c r="R80" s="17">
        <v>6</v>
      </c>
      <c r="S80" s="17">
        <v>7</v>
      </c>
      <c r="T80" s="17">
        <v>8</v>
      </c>
      <c r="U80" s="17">
        <v>9</v>
      </c>
      <c r="V80" s="17">
        <v>10</v>
      </c>
      <c r="W80" s="17">
        <v>11</v>
      </c>
      <c r="X80" s="17">
        <v>12</v>
      </c>
      <c r="Y80" s="17">
        <v>13</v>
      </c>
      <c r="Z80" s="17">
        <v>14</v>
      </c>
      <c r="AA80" s="17">
        <v>15</v>
      </c>
      <c r="AB80" s="17">
        <v>16</v>
      </c>
      <c r="AC80" s="17">
        <v>17</v>
      </c>
      <c r="AD80" s="17">
        <v>18</v>
      </c>
      <c r="AE80" s="17">
        <v>19</v>
      </c>
      <c r="AF80" s="17">
        <v>20</v>
      </c>
      <c r="AG80" s="17">
        <v>21</v>
      </c>
      <c r="AH80" s="17">
        <v>22</v>
      </c>
      <c r="AI80" s="17">
        <v>23</v>
      </c>
      <c r="AJ80" s="17">
        <v>24</v>
      </c>
      <c r="AK80" s="17">
        <v>25</v>
      </c>
      <c r="AL80" s="17">
        <v>26</v>
      </c>
      <c r="AM80" s="17">
        <v>27</v>
      </c>
      <c r="AN80" s="17">
        <v>28</v>
      </c>
      <c r="AO80" s="17">
        <v>29</v>
      </c>
      <c r="AP80" s="17">
        <v>30</v>
      </c>
      <c r="AQ80" s="17">
        <v>31</v>
      </c>
      <c r="AR80" s="17">
        <v>32</v>
      </c>
      <c r="AS80" s="17">
        <v>32</v>
      </c>
      <c r="AT80" s="17">
        <v>32</v>
      </c>
      <c r="AU80" s="17">
        <v>32</v>
      </c>
      <c r="AV80" s="17">
        <v>32</v>
      </c>
      <c r="AW80" s="17">
        <v>32</v>
      </c>
      <c r="AX80" s="17">
        <v>32</v>
      </c>
      <c r="AY80" s="17">
        <v>32</v>
      </c>
      <c r="AZ80" s="17">
        <v>32</v>
      </c>
      <c r="BA80" s="17">
        <v>32</v>
      </c>
      <c r="BB80" s="17">
        <v>32</v>
      </c>
      <c r="BC80" s="17">
        <v>32</v>
      </c>
      <c r="BD80" s="17">
        <v>32</v>
      </c>
      <c r="BE80" s="17">
        <v>32</v>
      </c>
      <c r="BF80" s="17">
        <v>32</v>
      </c>
      <c r="BG80" s="17">
        <v>32</v>
      </c>
      <c r="BH80" s="17">
        <v>32</v>
      </c>
      <c r="BI80" s="17">
        <v>32</v>
      </c>
      <c r="BJ80" s="17">
        <v>32</v>
      </c>
      <c r="BK80" s="17">
        <v>32</v>
      </c>
      <c r="BL80" s="17">
        <v>32</v>
      </c>
      <c r="BM80" s="17">
        <v>32</v>
      </c>
      <c r="BN80" s="17">
        <v>32</v>
      </c>
      <c r="BO80" s="17">
        <v>32</v>
      </c>
      <c r="BP80" s="17">
        <v>32</v>
      </c>
    </row>
    <row r="81" spans="6:68" ht="15" x14ac:dyDescent="0.25">
      <c r="F81" s="22" t="s">
        <v>251</v>
      </c>
      <c r="G81" s="18" t="s">
        <v>84</v>
      </c>
      <c r="H81" s="28">
        <f>IFERROR(INDEX(tblStaff[Salary],MATCH(Assumptions!G81,tblStaff[Staff],0)),0)</f>
        <v>90000</v>
      </c>
      <c r="I81" s="17"/>
      <c r="J81" s="17"/>
      <c r="K81" s="17">
        <v>1</v>
      </c>
      <c r="L81" s="17">
        <v>2</v>
      </c>
      <c r="M81" s="17">
        <v>3</v>
      </c>
      <c r="N81" s="17">
        <v>3</v>
      </c>
      <c r="O81" s="17">
        <v>4</v>
      </c>
      <c r="P81" s="17">
        <v>4</v>
      </c>
      <c r="Q81" s="17">
        <v>5</v>
      </c>
      <c r="R81" s="17">
        <v>6</v>
      </c>
      <c r="S81" s="17">
        <v>6</v>
      </c>
      <c r="T81" s="17">
        <v>7</v>
      </c>
      <c r="U81" s="17">
        <v>8</v>
      </c>
      <c r="V81" s="17">
        <v>9</v>
      </c>
      <c r="W81" s="17">
        <v>10</v>
      </c>
      <c r="X81" s="17">
        <v>11</v>
      </c>
      <c r="Y81" s="17">
        <v>12</v>
      </c>
      <c r="Z81" s="17">
        <v>13</v>
      </c>
      <c r="AA81" s="17">
        <v>14</v>
      </c>
      <c r="AB81" s="17">
        <v>15</v>
      </c>
      <c r="AC81" s="17">
        <v>16</v>
      </c>
      <c r="AD81" s="17">
        <v>17</v>
      </c>
      <c r="AE81" s="17">
        <v>18</v>
      </c>
      <c r="AF81" s="17">
        <v>19</v>
      </c>
      <c r="AG81" s="17">
        <v>20</v>
      </c>
      <c r="AH81" s="17">
        <v>21</v>
      </c>
      <c r="AI81" s="17">
        <v>22</v>
      </c>
      <c r="AJ81" s="17">
        <v>23</v>
      </c>
      <c r="AK81" s="17">
        <v>24</v>
      </c>
      <c r="AL81" s="17">
        <v>25</v>
      </c>
      <c r="AM81" s="17">
        <v>26</v>
      </c>
      <c r="AN81" s="17">
        <v>27</v>
      </c>
      <c r="AO81" s="17">
        <v>28</v>
      </c>
      <c r="AP81" s="17">
        <v>29</v>
      </c>
      <c r="AQ81" s="17">
        <v>30</v>
      </c>
      <c r="AR81" s="17">
        <v>31</v>
      </c>
      <c r="AS81" s="17">
        <v>31</v>
      </c>
      <c r="AT81" s="17">
        <v>31</v>
      </c>
      <c r="AU81" s="17">
        <v>31</v>
      </c>
      <c r="AV81" s="17">
        <v>31</v>
      </c>
      <c r="AW81" s="17">
        <v>31</v>
      </c>
      <c r="AX81" s="17">
        <v>31</v>
      </c>
      <c r="AY81" s="17">
        <v>31</v>
      </c>
      <c r="AZ81" s="17">
        <v>31</v>
      </c>
      <c r="BA81" s="17">
        <v>31</v>
      </c>
      <c r="BB81" s="17">
        <v>31</v>
      </c>
      <c r="BC81" s="17">
        <v>31</v>
      </c>
      <c r="BD81" s="17">
        <v>31</v>
      </c>
      <c r="BE81" s="17">
        <v>31</v>
      </c>
      <c r="BF81" s="17">
        <v>31</v>
      </c>
      <c r="BG81" s="17">
        <v>31</v>
      </c>
      <c r="BH81" s="17">
        <v>31</v>
      </c>
      <c r="BI81" s="17">
        <v>31</v>
      </c>
      <c r="BJ81" s="17">
        <v>31</v>
      </c>
      <c r="BK81" s="17">
        <v>31</v>
      </c>
      <c r="BL81" s="17">
        <v>31</v>
      </c>
      <c r="BM81" s="17">
        <v>31</v>
      </c>
      <c r="BN81" s="17">
        <v>31</v>
      </c>
      <c r="BO81" s="17">
        <v>31</v>
      </c>
      <c r="BP81" s="17">
        <v>31</v>
      </c>
    </row>
    <row r="82" spans="6:68" ht="15" x14ac:dyDescent="0.25">
      <c r="F82" s="22" t="s">
        <v>251</v>
      </c>
      <c r="G82" s="18" t="s">
        <v>85</v>
      </c>
      <c r="H82" s="28">
        <f>IFERROR(INDEX(tblStaff[Salary],MATCH(Assumptions!G82,tblStaff[Staff],0)),0)</f>
        <v>80000</v>
      </c>
      <c r="I82" s="17"/>
      <c r="J82" s="17"/>
      <c r="K82" s="17">
        <v>1</v>
      </c>
      <c r="L82" s="17">
        <v>1</v>
      </c>
      <c r="M82" s="17">
        <v>1</v>
      </c>
      <c r="N82" s="17">
        <v>1</v>
      </c>
      <c r="O82" s="17">
        <v>2</v>
      </c>
      <c r="P82" s="17">
        <v>2</v>
      </c>
      <c r="Q82" s="17">
        <v>2</v>
      </c>
      <c r="R82" s="17">
        <v>2</v>
      </c>
      <c r="S82" s="17">
        <v>3</v>
      </c>
      <c r="T82" s="17">
        <v>3</v>
      </c>
      <c r="U82" s="17">
        <v>3</v>
      </c>
      <c r="V82" s="17">
        <v>3</v>
      </c>
      <c r="W82" s="17">
        <v>3</v>
      </c>
      <c r="X82" s="17">
        <v>3</v>
      </c>
      <c r="Y82" s="17">
        <v>3</v>
      </c>
      <c r="Z82" s="17">
        <v>3</v>
      </c>
      <c r="AA82" s="17">
        <v>3</v>
      </c>
      <c r="AB82" s="17">
        <v>3</v>
      </c>
      <c r="AC82" s="17">
        <v>3</v>
      </c>
      <c r="AD82" s="17">
        <v>3</v>
      </c>
      <c r="AE82" s="17">
        <v>3</v>
      </c>
      <c r="AF82" s="17">
        <v>4</v>
      </c>
      <c r="AG82" s="17">
        <v>4</v>
      </c>
      <c r="AH82" s="17">
        <v>4</v>
      </c>
      <c r="AI82" s="17">
        <v>4</v>
      </c>
      <c r="AJ82" s="17">
        <v>4</v>
      </c>
      <c r="AK82" s="17">
        <v>4</v>
      </c>
      <c r="AL82" s="17">
        <v>4</v>
      </c>
      <c r="AM82" s="17">
        <v>4</v>
      </c>
      <c r="AN82" s="17">
        <v>4</v>
      </c>
      <c r="AO82" s="17">
        <v>4</v>
      </c>
      <c r="AP82" s="17">
        <v>4</v>
      </c>
      <c r="AQ82" s="17">
        <v>4</v>
      </c>
      <c r="AR82" s="17">
        <v>4</v>
      </c>
      <c r="AS82" s="17">
        <v>4</v>
      </c>
      <c r="AT82" s="17">
        <v>4</v>
      </c>
      <c r="AU82" s="17">
        <v>4</v>
      </c>
      <c r="AV82" s="17">
        <v>4</v>
      </c>
      <c r="AW82" s="17">
        <v>4</v>
      </c>
      <c r="AX82" s="17">
        <v>4</v>
      </c>
      <c r="AY82" s="17">
        <v>4</v>
      </c>
      <c r="AZ82" s="17">
        <v>4</v>
      </c>
      <c r="BA82" s="17">
        <v>4</v>
      </c>
      <c r="BB82" s="17">
        <v>4</v>
      </c>
      <c r="BC82" s="17">
        <v>4</v>
      </c>
      <c r="BD82" s="17">
        <v>4</v>
      </c>
      <c r="BE82" s="17">
        <v>4</v>
      </c>
      <c r="BF82" s="17">
        <v>4</v>
      </c>
      <c r="BG82" s="17">
        <v>4</v>
      </c>
      <c r="BH82" s="17">
        <v>4</v>
      </c>
      <c r="BI82" s="17">
        <v>4</v>
      </c>
      <c r="BJ82" s="17">
        <v>4</v>
      </c>
      <c r="BK82" s="17">
        <v>4</v>
      </c>
      <c r="BL82" s="17">
        <v>4</v>
      </c>
      <c r="BM82" s="17">
        <v>4</v>
      </c>
      <c r="BN82" s="17">
        <v>4</v>
      </c>
      <c r="BO82" s="17">
        <v>4</v>
      </c>
      <c r="BP82" s="17">
        <v>4</v>
      </c>
    </row>
    <row r="83" spans="6:68" ht="15" x14ac:dyDescent="0.25">
      <c r="F83" s="22" t="s">
        <v>251</v>
      </c>
      <c r="G83" s="18" t="s">
        <v>86</v>
      </c>
      <c r="H83" s="28">
        <f>IFERROR(INDEX(tblStaff[Salary],MATCH(Assumptions!G83,tblStaff[Staff],0)),0)</f>
        <v>120000</v>
      </c>
      <c r="I83" s="17">
        <v>0.5</v>
      </c>
      <c r="J83" s="17">
        <v>0.5</v>
      </c>
      <c r="K83" s="17">
        <v>1</v>
      </c>
      <c r="L83" s="17">
        <v>1</v>
      </c>
      <c r="M83" s="17">
        <v>1</v>
      </c>
      <c r="N83" s="17">
        <v>1</v>
      </c>
      <c r="O83" s="17">
        <v>1</v>
      </c>
      <c r="P83" s="17">
        <v>1</v>
      </c>
      <c r="Q83" s="17">
        <v>1</v>
      </c>
      <c r="R83" s="17">
        <v>1</v>
      </c>
      <c r="S83" s="17">
        <v>1</v>
      </c>
      <c r="T83" s="17">
        <v>1</v>
      </c>
      <c r="U83" s="17">
        <v>1</v>
      </c>
      <c r="V83" s="17">
        <v>1</v>
      </c>
      <c r="W83" s="17">
        <v>1</v>
      </c>
      <c r="X83" s="17">
        <v>1</v>
      </c>
      <c r="Y83" s="17">
        <v>1</v>
      </c>
      <c r="Z83" s="17">
        <v>1</v>
      </c>
      <c r="AA83" s="17">
        <v>1</v>
      </c>
      <c r="AB83" s="17">
        <v>1</v>
      </c>
      <c r="AC83" s="17">
        <v>1</v>
      </c>
      <c r="AD83" s="17">
        <v>1</v>
      </c>
      <c r="AE83" s="17">
        <v>1</v>
      </c>
      <c r="AF83" s="17">
        <v>1</v>
      </c>
      <c r="AG83" s="17">
        <v>1</v>
      </c>
      <c r="AH83" s="17">
        <v>1</v>
      </c>
      <c r="AI83" s="17">
        <v>1</v>
      </c>
      <c r="AJ83" s="17">
        <v>1</v>
      </c>
      <c r="AK83" s="17">
        <v>1</v>
      </c>
      <c r="AL83" s="17">
        <v>1</v>
      </c>
      <c r="AM83" s="17">
        <v>1</v>
      </c>
      <c r="AN83" s="17">
        <v>1</v>
      </c>
      <c r="AO83" s="17">
        <v>1</v>
      </c>
      <c r="AP83" s="17">
        <v>1</v>
      </c>
      <c r="AQ83" s="17">
        <v>1</v>
      </c>
      <c r="AR83" s="17">
        <v>1</v>
      </c>
      <c r="AS83" s="17">
        <v>1</v>
      </c>
      <c r="AT83" s="17">
        <v>1</v>
      </c>
      <c r="AU83" s="17">
        <v>1</v>
      </c>
      <c r="AV83" s="17">
        <v>1</v>
      </c>
      <c r="AW83" s="17">
        <v>1</v>
      </c>
      <c r="AX83" s="17">
        <v>1</v>
      </c>
      <c r="AY83" s="17">
        <v>1</v>
      </c>
      <c r="AZ83" s="17">
        <v>1</v>
      </c>
      <c r="BA83" s="17">
        <v>1</v>
      </c>
      <c r="BB83" s="17">
        <v>1</v>
      </c>
      <c r="BC83" s="17">
        <v>1</v>
      </c>
      <c r="BD83" s="17">
        <v>1</v>
      </c>
      <c r="BE83" s="17">
        <v>1</v>
      </c>
      <c r="BF83" s="17">
        <v>1</v>
      </c>
      <c r="BG83" s="17">
        <v>1</v>
      </c>
      <c r="BH83" s="17">
        <v>1</v>
      </c>
      <c r="BI83" s="17">
        <v>1</v>
      </c>
      <c r="BJ83" s="17">
        <v>1</v>
      </c>
      <c r="BK83" s="17">
        <v>1</v>
      </c>
      <c r="BL83" s="17">
        <v>1</v>
      </c>
      <c r="BM83" s="17">
        <v>1</v>
      </c>
      <c r="BN83" s="17">
        <v>1</v>
      </c>
      <c r="BO83" s="17">
        <v>1</v>
      </c>
      <c r="BP83" s="17">
        <v>1</v>
      </c>
    </row>
    <row r="84" spans="6:68" ht="15" x14ac:dyDescent="0.25">
      <c r="F84" s="22" t="s">
        <v>251</v>
      </c>
      <c r="G84" s="18" t="s">
        <v>87</v>
      </c>
      <c r="H84" s="28">
        <f>IFERROR(INDEX(tblStaff[Salary],MATCH(Assumptions!G84,tblStaff[Staff],0)),0)</f>
        <v>100000</v>
      </c>
      <c r="I84" s="17"/>
      <c r="J84" s="17"/>
      <c r="K84" s="17"/>
      <c r="L84" s="17"/>
      <c r="M84" s="17"/>
      <c r="N84" s="17">
        <v>1</v>
      </c>
      <c r="O84" s="17">
        <v>1</v>
      </c>
      <c r="P84" s="17">
        <v>1</v>
      </c>
      <c r="Q84" s="17">
        <v>1</v>
      </c>
      <c r="R84" s="17">
        <v>2</v>
      </c>
      <c r="S84" s="17">
        <v>2</v>
      </c>
      <c r="T84" s="17">
        <v>2</v>
      </c>
      <c r="U84" s="17">
        <v>2</v>
      </c>
      <c r="V84" s="17">
        <v>3</v>
      </c>
      <c r="W84" s="17">
        <v>3</v>
      </c>
      <c r="X84" s="17">
        <v>3</v>
      </c>
      <c r="Y84" s="17">
        <v>4</v>
      </c>
      <c r="Z84" s="17">
        <v>4</v>
      </c>
      <c r="AA84" s="17">
        <v>4</v>
      </c>
      <c r="AB84" s="17">
        <v>4</v>
      </c>
      <c r="AC84" s="17">
        <v>5</v>
      </c>
      <c r="AD84" s="17">
        <v>5</v>
      </c>
      <c r="AE84" s="17">
        <v>5</v>
      </c>
      <c r="AF84" s="17">
        <v>5</v>
      </c>
      <c r="AG84" s="17">
        <v>5</v>
      </c>
      <c r="AH84" s="17">
        <v>6</v>
      </c>
      <c r="AI84" s="17">
        <v>6</v>
      </c>
      <c r="AJ84" s="17">
        <v>6</v>
      </c>
      <c r="AK84" s="17">
        <v>6</v>
      </c>
      <c r="AL84" s="17">
        <v>7</v>
      </c>
      <c r="AM84" s="17">
        <v>7</v>
      </c>
      <c r="AN84" s="17">
        <v>7</v>
      </c>
      <c r="AO84" s="17">
        <v>8</v>
      </c>
      <c r="AP84" s="17">
        <v>8</v>
      </c>
      <c r="AQ84" s="17">
        <v>9</v>
      </c>
      <c r="AR84" s="17">
        <v>9</v>
      </c>
      <c r="AS84" s="17">
        <v>9</v>
      </c>
      <c r="AT84" s="17">
        <v>9</v>
      </c>
      <c r="AU84" s="17">
        <v>9</v>
      </c>
      <c r="AV84" s="17">
        <v>9</v>
      </c>
      <c r="AW84" s="17">
        <v>9</v>
      </c>
      <c r="AX84" s="17">
        <v>9</v>
      </c>
      <c r="AY84" s="17">
        <v>9</v>
      </c>
      <c r="AZ84" s="17">
        <v>9</v>
      </c>
      <c r="BA84" s="17">
        <v>9</v>
      </c>
      <c r="BB84" s="17">
        <v>9</v>
      </c>
      <c r="BC84" s="17">
        <v>9</v>
      </c>
      <c r="BD84" s="17">
        <v>9</v>
      </c>
      <c r="BE84" s="17">
        <v>9</v>
      </c>
      <c r="BF84" s="17">
        <v>9</v>
      </c>
      <c r="BG84" s="17">
        <v>9</v>
      </c>
      <c r="BH84" s="17">
        <v>9</v>
      </c>
      <c r="BI84" s="17">
        <v>9</v>
      </c>
      <c r="BJ84" s="17">
        <v>9</v>
      </c>
      <c r="BK84" s="17">
        <v>9</v>
      </c>
      <c r="BL84" s="17">
        <v>9</v>
      </c>
      <c r="BM84" s="17">
        <v>9</v>
      </c>
      <c r="BN84" s="17">
        <v>9</v>
      </c>
      <c r="BO84" s="17">
        <v>9</v>
      </c>
      <c r="BP84" s="17">
        <v>9</v>
      </c>
    </row>
    <row r="85" spans="6:68" ht="15" x14ac:dyDescent="0.25">
      <c r="F85" s="22"/>
      <c r="G85" s="18"/>
      <c r="H85" s="28">
        <f>IFERROR(INDEX(tblStaff[Salary],MATCH(Assumptions!G85,tblStaff[Staff],0)),0)</f>
        <v>0</v>
      </c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7"/>
      <c r="AL85" s="17"/>
      <c r="AM85" s="17"/>
      <c r="AN85" s="17"/>
      <c r="AO85" s="17"/>
      <c r="AP85" s="17"/>
      <c r="AQ85" s="17"/>
      <c r="AR85" s="17"/>
      <c r="AS85" s="17"/>
      <c r="AT85" s="17"/>
      <c r="AU85" s="17"/>
      <c r="AV85" s="17"/>
      <c r="AW85" s="17"/>
      <c r="AX85" s="17"/>
      <c r="AY85" s="17"/>
      <c r="AZ85" s="17"/>
      <c r="BA85" s="17"/>
      <c r="BB85" s="17"/>
      <c r="BC85" s="17"/>
      <c r="BD85" s="17"/>
      <c r="BE85" s="17"/>
      <c r="BF85" s="17"/>
      <c r="BG85" s="17"/>
      <c r="BH85" s="17"/>
      <c r="BI85" s="17"/>
      <c r="BJ85" s="17"/>
      <c r="BK85" s="17"/>
      <c r="BL85" s="17"/>
      <c r="BM85" s="17"/>
      <c r="BN85" s="17"/>
      <c r="BO85" s="17"/>
      <c r="BP85" s="17"/>
    </row>
    <row r="86" spans="6:68" ht="15" x14ac:dyDescent="0.25">
      <c r="F86" s="22" t="s">
        <v>251</v>
      </c>
      <c r="G86" s="18" t="s">
        <v>100</v>
      </c>
      <c r="H86" s="28">
        <f>IFERROR(INDEX(tblStaff[Salary],MATCH(Assumptions!G86,tblStaff[Staff],0)),0)</f>
        <v>150000</v>
      </c>
      <c r="I86" s="17">
        <v>1</v>
      </c>
      <c r="J86" s="17">
        <v>1</v>
      </c>
      <c r="K86" s="17">
        <v>1</v>
      </c>
      <c r="L86" s="17">
        <v>1</v>
      </c>
      <c r="M86" s="17">
        <v>1</v>
      </c>
      <c r="N86" s="17">
        <v>1</v>
      </c>
      <c r="O86" s="17">
        <v>1</v>
      </c>
      <c r="P86" s="17">
        <v>1</v>
      </c>
      <c r="Q86" s="17">
        <v>1</v>
      </c>
      <c r="R86" s="17">
        <v>1</v>
      </c>
      <c r="S86" s="17">
        <v>1</v>
      </c>
      <c r="T86" s="17">
        <v>1</v>
      </c>
      <c r="U86" s="17">
        <v>1</v>
      </c>
      <c r="V86" s="17">
        <v>1</v>
      </c>
      <c r="W86" s="17">
        <v>1</v>
      </c>
      <c r="X86" s="17">
        <v>1</v>
      </c>
      <c r="Y86" s="17">
        <v>1</v>
      </c>
      <c r="Z86" s="17">
        <v>1</v>
      </c>
      <c r="AA86" s="17">
        <v>1</v>
      </c>
      <c r="AB86" s="17">
        <v>1</v>
      </c>
      <c r="AC86" s="17">
        <v>1</v>
      </c>
      <c r="AD86" s="17">
        <v>1</v>
      </c>
      <c r="AE86" s="17">
        <v>1</v>
      </c>
      <c r="AF86" s="17">
        <v>1</v>
      </c>
      <c r="AG86" s="17">
        <v>1</v>
      </c>
      <c r="AH86" s="17">
        <v>1</v>
      </c>
      <c r="AI86" s="17">
        <v>1</v>
      </c>
      <c r="AJ86" s="17">
        <v>1</v>
      </c>
      <c r="AK86" s="17">
        <v>1</v>
      </c>
      <c r="AL86" s="17">
        <v>1</v>
      </c>
      <c r="AM86" s="17">
        <v>1</v>
      </c>
      <c r="AN86" s="17">
        <v>1</v>
      </c>
      <c r="AO86" s="17">
        <v>1</v>
      </c>
      <c r="AP86" s="17">
        <v>1</v>
      </c>
      <c r="AQ86" s="17">
        <v>1</v>
      </c>
      <c r="AR86" s="17">
        <v>1</v>
      </c>
      <c r="AS86" s="17">
        <v>1</v>
      </c>
      <c r="AT86" s="17">
        <v>1</v>
      </c>
      <c r="AU86" s="17">
        <v>1</v>
      </c>
      <c r="AV86" s="17">
        <v>1</v>
      </c>
      <c r="AW86" s="17">
        <v>1</v>
      </c>
      <c r="AX86" s="17">
        <v>1</v>
      </c>
      <c r="AY86" s="17">
        <v>1</v>
      </c>
      <c r="AZ86" s="17">
        <v>1</v>
      </c>
      <c r="BA86" s="17">
        <v>1</v>
      </c>
      <c r="BB86" s="17">
        <v>1</v>
      </c>
      <c r="BC86" s="17">
        <v>1</v>
      </c>
      <c r="BD86" s="17">
        <v>1</v>
      </c>
      <c r="BE86" s="17">
        <v>1</v>
      </c>
      <c r="BF86" s="17">
        <v>1</v>
      </c>
      <c r="BG86" s="17">
        <v>1</v>
      </c>
      <c r="BH86" s="17">
        <v>1</v>
      </c>
      <c r="BI86" s="17">
        <v>1</v>
      </c>
      <c r="BJ86" s="17">
        <v>1</v>
      </c>
      <c r="BK86" s="17">
        <v>1</v>
      </c>
      <c r="BL86" s="17">
        <v>1</v>
      </c>
      <c r="BM86" s="17">
        <v>1</v>
      </c>
      <c r="BN86" s="17">
        <v>1</v>
      </c>
      <c r="BO86" s="17">
        <v>1</v>
      </c>
      <c r="BP86" s="17">
        <v>1</v>
      </c>
    </row>
    <row r="87" spans="6:68" ht="15" x14ac:dyDescent="0.25">
      <c r="F87" s="22" t="s">
        <v>251</v>
      </c>
      <c r="G87" s="18" t="s">
        <v>101</v>
      </c>
      <c r="H87" s="28">
        <f>IFERROR(INDEX(tblStaff[Salary],MATCH(Assumptions!G87,tblStaff[Staff],0)),0)</f>
        <v>80000</v>
      </c>
      <c r="I87" s="17"/>
      <c r="J87" s="17"/>
      <c r="K87" s="17">
        <v>1</v>
      </c>
      <c r="L87" s="17">
        <v>1</v>
      </c>
      <c r="M87" s="17">
        <v>1</v>
      </c>
      <c r="N87" s="17">
        <v>1</v>
      </c>
      <c r="O87" s="17">
        <v>1</v>
      </c>
      <c r="P87" s="17">
        <v>1</v>
      </c>
      <c r="Q87" s="17">
        <v>1</v>
      </c>
      <c r="R87" s="17">
        <v>1</v>
      </c>
      <c r="S87" s="17">
        <v>1</v>
      </c>
      <c r="T87" s="17">
        <v>1</v>
      </c>
      <c r="U87" s="17">
        <v>1</v>
      </c>
      <c r="V87" s="17">
        <v>1</v>
      </c>
      <c r="W87" s="17">
        <v>1</v>
      </c>
      <c r="X87" s="17">
        <v>1</v>
      </c>
      <c r="Y87" s="17">
        <v>1</v>
      </c>
      <c r="Z87" s="17">
        <v>1</v>
      </c>
      <c r="AA87" s="17">
        <v>1</v>
      </c>
      <c r="AB87" s="17">
        <v>1</v>
      </c>
      <c r="AC87" s="17">
        <v>1</v>
      </c>
      <c r="AD87" s="17">
        <v>1</v>
      </c>
      <c r="AE87" s="17">
        <v>1</v>
      </c>
      <c r="AF87" s="17">
        <v>1</v>
      </c>
      <c r="AG87" s="17">
        <v>1</v>
      </c>
      <c r="AH87" s="17">
        <v>1</v>
      </c>
      <c r="AI87" s="17">
        <v>1</v>
      </c>
      <c r="AJ87" s="17">
        <v>1</v>
      </c>
      <c r="AK87" s="17">
        <v>1</v>
      </c>
      <c r="AL87" s="17">
        <v>1</v>
      </c>
      <c r="AM87" s="17">
        <v>1</v>
      </c>
      <c r="AN87" s="17">
        <v>1</v>
      </c>
      <c r="AO87" s="17">
        <v>1</v>
      </c>
      <c r="AP87" s="17">
        <v>1</v>
      </c>
      <c r="AQ87" s="17">
        <v>1</v>
      </c>
      <c r="AR87" s="17">
        <v>1</v>
      </c>
      <c r="AS87" s="17">
        <v>1</v>
      </c>
      <c r="AT87" s="17">
        <v>1</v>
      </c>
      <c r="AU87" s="17">
        <v>1</v>
      </c>
      <c r="AV87" s="17">
        <v>1</v>
      </c>
      <c r="AW87" s="17">
        <v>1</v>
      </c>
      <c r="AX87" s="17">
        <v>1</v>
      </c>
      <c r="AY87" s="17">
        <v>1</v>
      </c>
      <c r="AZ87" s="17">
        <v>1</v>
      </c>
      <c r="BA87" s="17">
        <v>1</v>
      </c>
      <c r="BB87" s="17">
        <v>1</v>
      </c>
      <c r="BC87" s="17">
        <v>1</v>
      </c>
      <c r="BD87" s="17">
        <v>1</v>
      </c>
      <c r="BE87" s="17">
        <v>1</v>
      </c>
      <c r="BF87" s="17">
        <v>1</v>
      </c>
      <c r="BG87" s="17">
        <v>1</v>
      </c>
      <c r="BH87" s="17">
        <v>1</v>
      </c>
      <c r="BI87" s="17">
        <v>1</v>
      </c>
      <c r="BJ87" s="17">
        <v>1</v>
      </c>
      <c r="BK87" s="17">
        <v>1</v>
      </c>
      <c r="BL87" s="17">
        <v>1</v>
      </c>
      <c r="BM87" s="17">
        <v>1</v>
      </c>
      <c r="BN87" s="17">
        <v>1</v>
      </c>
      <c r="BO87" s="17">
        <v>1</v>
      </c>
      <c r="BP87" s="17">
        <v>1</v>
      </c>
    </row>
    <row r="88" spans="6:68" ht="15" x14ac:dyDescent="0.25">
      <c r="F88" s="22" t="s">
        <v>251</v>
      </c>
      <c r="G88" s="18" t="s">
        <v>102</v>
      </c>
      <c r="H88" s="28">
        <f>IFERROR(INDEX(tblStaff[Salary],MATCH(Assumptions!G88,tblStaff[Staff],0)),0)</f>
        <v>60000</v>
      </c>
      <c r="I88" s="17"/>
      <c r="J88" s="17"/>
      <c r="K88" s="17"/>
      <c r="L88" s="17"/>
      <c r="M88" s="17"/>
      <c r="N88" s="17">
        <v>1</v>
      </c>
      <c r="O88" s="17">
        <v>1</v>
      </c>
      <c r="P88" s="17">
        <v>1</v>
      </c>
      <c r="Q88" s="17">
        <v>1</v>
      </c>
      <c r="R88" s="17">
        <v>1</v>
      </c>
      <c r="S88" s="17">
        <v>2</v>
      </c>
      <c r="T88" s="17">
        <v>2</v>
      </c>
      <c r="U88" s="17">
        <v>2</v>
      </c>
      <c r="V88" s="17">
        <v>2</v>
      </c>
      <c r="W88" s="17">
        <v>2</v>
      </c>
      <c r="X88" s="17">
        <v>2</v>
      </c>
      <c r="Y88" s="17">
        <v>2</v>
      </c>
      <c r="Z88" s="17">
        <v>2</v>
      </c>
      <c r="AA88" s="17">
        <v>2</v>
      </c>
      <c r="AB88" s="17">
        <v>2</v>
      </c>
      <c r="AC88" s="17">
        <v>3</v>
      </c>
      <c r="AD88" s="17">
        <v>3</v>
      </c>
      <c r="AE88" s="17">
        <v>3</v>
      </c>
      <c r="AF88" s="17">
        <v>3</v>
      </c>
      <c r="AG88" s="17">
        <v>3</v>
      </c>
      <c r="AH88" s="17">
        <v>3</v>
      </c>
      <c r="AI88" s="17">
        <v>3</v>
      </c>
      <c r="AJ88" s="17">
        <v>3</v>
      </c>
      <c r="AK88" s="17">
        <v>4</v>
      </c>
      <c r="AL88" s="17">
        <v>4</v>
      </c>
      <c r="AM88" s="17">
        <v>4</v>
      </c>
      <c r="AN88" s="17">
        <v>4</v>
      </c>
      <c r="AO88" s="17">
        <v>4</v>
      </c>
      <c r="AP88" s="17">
        <v>4</v>
      </c>
      <c r="AQ88" s="17">
        <v>4</v>
      </c>
      <c r="AR88" s="17">
        <v>4</v>
      </c>
      <c r="AS88" s="17">
        <v>4</v>
      </c>
      <c r="AT88" s="17">
        <v>4</v>
      </c>
      <c r="AU88" s="17">
        <v>4</v>
      </c>
      <c r="AV88" s="17">
        <v>4</v>
      </c>
      <c r="AW88" s="17">
        <v>4</v>
      </c>
      <c r="AX88" s="17">
        <v>4</v>
      </c>
      <c r="AY88" s="17">
        <v>4</v>
      </c>
      <c r="AZ88" s="17">
        <v>4</v>
      </c>
      <c r="BA88" s="17">
        <v>4</v>
      </c>
      <c r="BB88" s="17">
        <v>4</v>
      </c>
      <c r="BC88" s="17">
        <v>4</v>
      </c>
      <c r="BD88" s="17">
        <v>4</v>
      </c>
      <c r="BE88" s="17">
        <v>4</v>
      </c>
      <c r="BF88" s="17">
        <v>4</v>
      </c>
      <c r="BG88" s="17">
        <v>4</v>
      </c>
      <c r="BH88" s="17">
        <v>4</v>
      </c>
      <c r="BI88" s="17">
        <v>4</v>
      </c>
      <c r="BJ88" s="17">
        <v>4</v>
      </c>
      <c r="BK88" s="17">
        <v>4</v>
      </c>
      <c r="BL88" s="17">
        <v>4</v>
      </c>
      <c r="BM88" s="17">
        <v>4</v>
      </c>
      <c r="BN88" s="17">
        <v>4</v>
      </c>
      <c r="BO88" s="17">
        <v>4</v>
      </c>
      <c r="BP88" s="17">
        <v>4</v>
      </c>
    </row>
    <row r="89" spans="6:68" ht="15" x14ac:dyDescent="0.25">
      <c r="F89" s="22" t="s">
        <v>251</v>
      </c>
      <c r="G89" s="18" t="s">
        <v>103</v>
      </c>
      <c r="H89" s="28">
        <f>IFERROR(INDEX(tblStaff[Salary],MATCH(Assumptions!G89,tblStaff[Staff],0)),0)</f>
        <v>60000</v>
      </c>
      <c r="I89" s="17">
        <v>0.2</v>
      </c>
      <c r="J89" s="17">
        <v>0.2</v>
      </c>
      <c r="K89" s="17">
        <v>0.5</v>
      </c>
      <c r="L89" s="17">
        <v>1</v>
      </c>
      <c r="M89" s="17">
        <v>1</v>
      </c>
      <c r="N89" s="17">
        <v>1</v>
      </c>
      <c r="O89" s="17">
        <v>1</v>
      </c>
      <c r="P89" s="17">
        <v>1</v>
      </c>
      <c r="Q89" s="17">
        <v>1</v>
      </c>
      <c r="R89" s="17">
        <v>1</v>
      </c>
      <c r="S89" s="17">
        <v>1</v>
      </c>
      <c r="T89" s="17">
        <v>2</v>
      </c>
      <c r="U89" s="17">
        <v>2</v>
      </c>
      <c r="V89" s="17">
        <v>2</v>
      </c>
      <c r="W89" s="17">
        <v>3</v>
      </c>
      <c r="X89" s="17">
        <v>3</v>
      </c>
      <c r="Y89" s="17">
        <v>3</v>
      </c>
      <c r="Z89" s="17">
        <v>4</v>
      </c>
      <c r="AA89" s="17">
        <v>4</v>
      </c>
      <c r="AB89" s="17">
        <v>4</v>
      </c>
      <c r="AC89" s="17">
        <v>5</v>
      </c>
      <c r="AD89" s="17">
        <v>5</v>
      </c>
      <c r="AE89" s="17">
        <v>5</v>
      </c>
      <c r="AF89" s="17">
        <v>6</v>
      </c>
      <c r="AG89" s="17">
        <v>6</v>
      </c>
      <c r="AH89" s="17">
        <v>6</v>
      </c>
      <c r="AI89" s="17">
        <v>7</v>
      </c>
      <c r="AJ89" s="17">
        <v>7</v>
      </c>
      <c r="AK89" s="17">
        <v>7</v>
      </c>
      <c r="AL89" s="17">
        <v>8</v>
      </c>
      <c r="AM89" s="17">
        <v>8</v>
      </c>
      <c r="AN89" s="17">
        <v>8</v>
      </c>
      <c r="AO89" s="17">
        <v>9</v>
      </c>
      <c r="AP89" s="17">
        <v>9</v>
      </c>
      <c r="AQ89" s="17">
        <v>9</v>
      </c>
      <c r="AR89" s="17">
        <v>10</v>
      </c>
      <c r="AS89" s="17">
        <v>10</v>
      </c>
      <c r="AT89" s="17">
        <v>10</v>
      </c>
      <c r="AU89" s="17">
        <v>10</v>
      </c>
      <c r="AV89" s="17">
        <v>10</v>
      </c>
      <c r="AW89" s="17">
        <v>10</v>
      </c>
      <c r="AX89" s="17">
        <v>10</v>
      </c>
      <c r="AY89" s="17">
        <v>10</v>
      </c>
      <c r="AZ89" s="17">
        <v>10</v>
      </c>
      <c r="BA89" s="17">
        <v>10</v>
      </c>
      <c r="BB89" s="17">
        <v>10</v>
      </c>
      <c r="BC89" s="17">
        <v>10</v>
      </c>
      <c r="BD89" s="17">
        <v>10</v>
      </c>
      <c r="BE89" s="17">
        <v>10</v>
      </c>
      <c r="BF89" s="17">
        <v>10</v>
      </c>
      <c r="BG89" s="17">
        <v>10</v>
      </c>
      <c r="BH89" s="17">
        <v>10</v>
      </c>
      <c r="BI89" s="17">
        <v>10</v>
      </c>
      <c r="BJ89" s="17">
        <v>10</v>
      </c>
      <c r="BK89" s="17">
        <v>10</v>
      </c>
      <c r="BL89" s="17">
        <v>10</v>
      </c>
      <c r="BM89" s="17">
        <v>10</v>
      </c>
      <c r="BN89" s="17">
        <v>10</v>
      </c>
      <c r="BO89" s="17">
        <v>10</v>
      </c>
      <c r="BP89" s="17">
        <v>10</v>
      </c>
    </row>
    <row r="90" spans="6:68" ht="15" x14ac:dyDescent="0.25">
      <c r="F90" s="22"/>
      <c r="G90" s="18"/>
      <c r="H90" s="28">
        <f>IFERROR(INDEX(tblStaff[Salary],MATCH(Assumptions!G90,tblStaff[Staff],0)),0)</f>
        <v>0</v>
      </c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7"/>
      <c r="AL90" s="17"/>
      <c r="AM90" s="17"/>
      <c r="AN90" s="17"/>
      <c r="AO90" s="17"/>
      <c r="AP90" s="17"/>
      <c r="AQ90" s="17"/>
      <c r="AR90" s="17"/>
      <c r="AS90" s="17"/>
      <c r="AT90" s="17"/>
      <c r="AU90" s="17"/>
      <c r="AV90" s="17"/>
      <c r="AW90" s="17"/>
      <c r="AX90" s="17"/>
      <c r="AY90" s="17"/>
      <c r="AZ90" s="17"/>
      <c r="BA90" s="17"/>
      <c r="BB90" s="17"/>
      <c r="BC90" s="17"/>
      <c r="BD90" s="17"/>
      <c r="BE90" s="17"/>
      <c r="BF90" s="17"/>
      <c r="BG90" s="17"/>
      <c r="BH90" s="17"/>
      <c r="BI90" s="17"/>
      <c r="BJ90" s="17"/>
      <c r="BK90" s="17"/>
      <c r="BL90" s="17"/>
      <c r="BM90" s="17"/>
      <c r="BN90" s="17"/>
      <c r="BO90" s="17"/>
      <c r="BP90" s="17"/>
    </row>
    <row r="91" spans="6:68" ht="15" x14ac:dyDescent="0.25">
      <c r="F91" s="22" t="s">
        <v>316</v>
      </c>
      <c r="G91" s="18" t="s">
        <v>82</v>
      </c>
      <c r="H91" s="28">
        <f>IFERROR(INDEX(tblStaff[Salary],MATCH(Assumptions!G91,tblStaff[Staff],0)),0)</f>
        <v>120000</v>
      </c>
      <c r="I91" s="17">
        <v>0</v>
      </c>
      <c r="J91" s="17">
        <v>1</v>
      </c>
      <c r="K91" s="17">
        <v>1</v>
      </c>
      <c r="L91" s="17">
        <v>1</v>
      </c>
      <c r="M91" s="17">
        <v>1</v>
      </c>
      <c r="N91" s="17">
        <v>1</v>
      </c>
      <c r="O91" s="17">
        <v>1</v>
      </c>
      <c r="P91" s="17">
        <v>1</v>
      </c>
      <c r="Q91" s="17">
        <v>1</v>
      </c>
      <c r="R91" s="17">
        <v>1</v>
      </c>
      <c r="S91" s="17">
        <v>1</v>
      </c>
      <c r="T91" s="17">
        <v>1</v>
      </c>
      <c r="U91" s="17">
        <v>1</v>
      </c>
      <c r="V91" s="17">
        <v>1</v>
      </c>
      <c r="W91" s="17">
        <v>1</v>
      </c>
      <c r="X91" s="17">
        <v>1</v>
      </c>
      <c r="Y91" s="17">
        <v>1</v>
      </c>
      <c r="Z91" s="17">
        <v>1</v>
      </c>
      <c r="AA91" s="17">
        <v>1</v>
      </c>
      <c r="AB91" s="17">
        <v>1</v>
      </c>
      <c r="AC91" s="17">
        <v>1</v>
      </c>
      <c r="AD91" s="17">
        <v>1</v>
      </c>
      <c r="AE91" s="17">
        <v>1</v>
      </c>
      <c r="AF91" s="17">
        <v>1</v>
      </c>
      <c r="AG91" s="17">
        <v>1</v>
      </c>
      <c r="AH91" s="17">
        <v>1</v>
      </c>
      <c r="AI91" s="17">
        <v>1</v>
      </c>
      <c r="AJ91" s="17">
        <v>1</v>
      </c>
      <c r="AK91" s="17">
        <v>1</v>
      </c>
      <c r="AL91" s="17">
        <v>1</v>
      </c>
      <c r="AM91" s="17">
        <v>1</v>
      </c>
      <c r="AN91" s="17">
        <v>1</v>
      </c>
      <c r="AO91" s="17">
        <v>1</v>
      </c>
      <c r="AP91" s="17">
        <v>1</v>
      </c>
      <c r="AQ91" s="17">
        <v>1</v>
      </c>
      <c r="AR91" s="17">
        <v>1</v>
      </c>
      <c r="AS91" s="17">
        <v>1</v>
      </c>
      <c r="AT91" s="17">
        <v>1</v>
      </c>
      <c r="AU91" s="17">
        <v>1</v>
      </c>
      <c r="AV91" s="17">
        <v>1</v>
      </c>
      <c r="AW91" s="17">
        <v>1</v>
      </c>
      <c r="AX91" s="17">
        <v>1</v>
      </c>
      <c r="AY91" s="17">
        <v>1</v>
      </c>
      <c r="AZ91" s="17">
        <v>1</v>
      </c>
      <c r="BA91" s="17">
        <v>1</v>
      </c>
      <c r="BB91" s="17">
        <v>1</v>
      </c>
      <c r="BC91" s="17">
        <v>1</v>
      </c>
      <c r="BD91" s="17">
        <v>1</v>
      </c>
      <c r="BE91" s="17">
        <v>1</v>
      </c>
      <c r="BF91" s="17">
        <v>1</v>
      </c>
      <c r="BG91" s="17">
        <v>1</v>
      </c>
      <c r="BH91" s="17">
        <v>1</v>
      </c>
      <c r="BI91" s="17">
        <v>1</v>
      </c>
      <c r="BJ91" s="17">
        <v>1</v>
      </c>
      <c r="BK91" s="17">
        <v>1</v>
      </c>
      <c r="BL91" s="17">
        <v>1</v>
      </c>
      <c r="BM91" s="17">
        <v>1</v>
      </c>
      <c r="BN91" s="17">
        <v>1</v>
      </c>
      <c r="BO91" s="17">
        <v>1</v>
      </c>
      <c r="BP91" s="17">
        <v>1</v>
      </c>
    </row>
    <row r="92" spans="6:68" ht="15" x14ac:dyDescent="0.25">
      <c r="F92" s="22" t="s">
        <v>316</v>
      </c>
      <c r="G92" s="18" t="s">
        <v>83</v>
      </c>
      <c r="H92" s="28">
        <f>IFERROR(INDEX(tblStaff[Salary],MATCH(Assumptions!G92,tblStaff[Staff],0)),0)</f>
        <v>100000</v>
      </c>
      <c r="I92" s="17"/>
      <c r="J92" s="17"/>
      <c r="K92" s="17"/>
      <c r="L92" s="17"/>
      <c r="M92" s="17"/>
      <c r="N92" s="17"/>
      <c r="O92" s="17"/>
      <c r="P92" s="17"/>
      <c r="Q92" s="17"/>
      <c r="R92" s="17"/>
      <c r="S92" s="17"/>
      <c r="T92" s="17"/>
      <c r="U92" s="17"/>
      <c r="V92" s="17"/>
      <c r="W92" s="17"/>
      <c r="X92" s="17"/>
      <c r="Y92" s="17"/>
      <c r="Z92" s="17">
        <v>1</v>
      </c>
      <c r="AA92" s="17">
        <v>1</v>
      </c>
      <c r="AB92" s="17">
        <v>1</v>
      </c>
      <c r="AC92" s="17">
        <v>1</v>
      </c>
      <c r="AD92" s="17">
        <v>1</v>
      </c>
      <c r="AE92" s="17">
        <v>1</v>
      </c>
      <c r="AF92" s="17">
        <v>1</v>
      </c>
      <c r="AG92" s="17">
        <v>2</v>
      </c>
      <c r="AH92" s="17">
        <v>2</v>
      </c>
      <c r="AI92" s="17">
        <v>2</v>
      </c>
      <c r="AJ92" s="17">
        <v>2</v>
      </c>
      <c r="AK92" s="17">
        <v>2</v>
      </c>
      <c r="AL92" s="17">
        <v>2</v>
      </c>
      <c r="AM92" s="17">
        <v>3</v>
      </c>
      <c r="AN92" s="17">
        <v>3</v>
      </c>
      <c r="AO92" s="17">
        <v>3</v>
      </c>
      <c r="AP92" s="17">
        <v>3</v>
      </c>
      <c r="AQ92" s="17">
        <v>3</v>
      </c>
      <c r="AR92" s="17">
        <v>3</v>
      </c>
      <c r="AS92" s="17">
        <v>4</v>
      </c>
      <c r="AT92" s="17">
        <v>4</v>
      </c>
      <c r="AU92" s="17">
        <v>4</v>
      </c>
      <c r="AV92" s="17">
        <v>4</v>
      </c>
      <c r="AW92" s="17">
        <v>4</v>
      </c>
      <c r="AX92" s="17">
        <v>4</v>
      </c>
      <c r="AY92" s="17">
        <v>5</v>
      </c>
      <c r="AZ92" s="17">
        <v>5</v>
      </c>
      <c r="BA92" s="17">
        <v>5</v>
      </c>
      <c r="BB92" s="17">
        <v>5</v>
      </c>
      <c r="BC92" s="17">
        <v>5</v>
      </c>
      <c r="BD92" s="17">
        <v>5</v>
      </c>
      <c r="BE92" s="17">
        <v>6</v>
      </c>
      <c r="BF92" s="17">
        <v>6</v>
      </c>
      <c r="BG92" s="17">
        <v>6</v>
      </c>
      <c r="BH92" s="17">
        <v>6</v>
      </c>
      <c r="BI92" s="17">
        <v>6</v>
      </c>
      <c r="BJ92" s="17">
        <v>6</v>
      </c>
      <c r="BK92" s="17">
        <v>7</v>
      </c>
      <c r="BL92" s="17">
        <v>7</v>
      </c>
      <c r="BM92" s="17">
        <v>7</v>
      </c>
      <c r="BN92" s="17">
        <v>7</v>
      </c>
      <c r="BO92" s="17">
        <v>7</v>
      </c>
      <c r="BP92" s="17">
        <v>7</v>
      </c>
    </row>
    <row r="93" spans="6:68" ht="15" x14ac:dyDescent="0.25">
      <c r="F93" s="22" t="s">
        <v>316</v>
      </c>
      <c r="G93" s="18" t="s">
        <v>84</v>
      </c>
      <c r="H93" s="28">
        <f>IFERROR(INDEX(tblStaff[Salary],MATCH(Assumptions!G93,tblStaff[Staff],0)),0)</f>
        <v>90000</v>
      </c>
      <c r="I93" s="17"/>
      <c r="J93" s="17"/>
      <c r="K93" s="17"/>
      <c r="L93" s="17"/>
      <c r="M93" s="17"/>
      <c r="N93" s="17"/>
      <c r="O93" s="17">
        <v>1</v>
      </c>
      <c r="P93" s="17">
        <v>1</v>
      </c>
      <c r="Q93" s="17">
        <v>1</v>
      </c>
      <c r="R93" s="17">
        <v>2</v>
      </c>
      <c r="S93" s="17">
        <v>2</v>
      </c>
      <c r="T93" s="17">
        <v>2</v>
      </c>
      <c r="U93" s="17">
        <v>3</v>
      </c>
      <c r="V93" s="17">
        <v>3</v>
      </c>
      <c r="W93" s="17">
        <v>3</v>
      </c>
      <c r="X93" s="17">
        <v>3</v>
      </c>
      <c r="Y93" s="17">
        <v>3</v>
      </c>
      <c r="Z93" s="17">
        <v>3</v>
      </c>
      <c r="AA93" s="17">
        <v>4</v>
      </c>
      <c r="AB93" s="17">
        <v>4</v>
      </c>
      <c r="AC93" s="17">
        <v>4</v>
      </c>
      <c r="AD93" s="17">
        <v>4</v>
      </c>
      <c r="AE93" s="17">
        <v>4</v>
      </c>
      <c r="AF93" s="17">
        <v>4</v>
      </c>
      <c r="AG93" s="17">
        <v>5</v>
      </c>
      <c r="AH93" s="17">
        <v>5</v>
      </c>
      <c r="AI93" s="17">
        <v>5</v>
      </c>
      <c r="AJ93" s="17">
        <v>5</v>
      </c>
      <c r="AK93" s="17">
        <v>5</v>
      </c>
      <c r="AL93" s="17">
        <v>5</v>
      </c>
      <c r="AM93" s="17">
        <v>6</v>
      </c>
      <c r="AN93" s="17">
        <v>6</v>
      </c>
      <c r="AO93" s="17">
        <v>6</v>
      </c>
      <c r="AP93" s="17">
        <v>6</v>
      </c>
      <c r="AQ93" s="17">
        <v>6</v>
      </c>
      <c r="AR93" s="17">
        <v>6</v>
      </c>
      <c r="AS93" s="17">
        <f>AS92*2</f>
        <v>8</v>
      </c>
      <c r="AT93" s="17">
        <f t="shared" ref="AT93:BP93" si="13">AT92*2</f>
        <v>8</v>
      </c>
      <c r="AU93" s="17">
        <f t="shared" si="13"/>
        <v>8</v>
      </c>
      <c r="AV93" s="17">
        <f t="shared" si="13"/>
        <v>8</v>
      </c>
      <c r="AW93" s="17">
        <f t="shared" si="13"/>
        <v>8</v>
      </c>
      <c r="AX93" s="17">
        <f t="shared" si="13"/>
        <v>8</v>
      </c>
      <c r="AY93" s="17">
        <f t="shared" si="13"/>
        <v>10</v>
      </c>
      <c r="AZ93" s="17">
        <f t="shared" si="13"/>
        <v>10</v>
      </c>
      <c r="BA93" s="17">
        <f t="shared" si="13"/>
        <v>10</v>
      </c>
      <c r="BB93" s="17">
        <f t="shared" si="13"/>
        <v>10</v>
      </c>
      <c r="BC93" s="17">
        <f t="shared" si="13"/>
        <v>10</v>
      </c>
      <c r="BD93" s="17">
        <f t="shared" si="13"/>
        <v>10</v>
      </c>
      <c r="BE93" s="17">
        <f t="shared" si="13"/>
        <v>12</v>
      </c>
      <c r="BF93" s="17">
        <f t="shared" si="13"/>
        <v>12</v>
      </c>
      <c r="BG93" s="17">
        <f t="shared" si="13"/>
        <v>12</v>
      </c>
      <c r="BH93" s="17">
        <f t="shared" si="13"/>
        <v>12</v>
      </c>
      <c r="BI93" s="17">
        <f t="shared" si="13"/>
        <v>12</v>
      </c>
      <c r="BJ93" s="17">
        <f t="shared" si="13"/>
        <v>12</v>
      </c>
      <c r="BK93" s="17">
        <f t="shared" si="13"/>
        <v>14</v>
      </c>
      <c r="BL93" s="17">
        <f t="shared" si="13"/>
        <v>14</v>
      </c>
      <c r="BM93" s="17">
        <f t="shared" si="13"/>
        <v>14</v>
      </c>
      <c r="BN93" s="17">
        <f t="shared" si="13"/>
        <v>14</v>
      </c>
      <c r="BO93" s="17">
        <f t="shared" si="13"/>
        <v>14</v>
      </c>
      <c r="BP93" s="17">
        <f t="shared" si="13"/>
        <v>14</v>
      </c>
    </row>
    <row r="94" spans="6:68" ht="15" x14ac:dyDescent="0.25">
      <c r="F94" s="22" t="s">
        <v>316</v>
      </c>
      <c r="G94" s="18" t="s">
        <v>85</v>
      </c>
      <c r="H94" s="28">
        <f>IFERROR(INDEX(tblStaff[Salary],MATCH(Assumptions!G94,tblStaff[Staff],0)),0)</f>
        <v>80000</v>
      </c>
      <c r="I94" s="17">
        <v>0.2</v>
      </c>
      <c r="J94" s="17">
        <v>0.2</v>
      </c>
      <c r="K94" s="17">
        <v>0.2</v>
      </c>
      <c r="L94" s="17">
        <v>0.2</v>
      </c>
      <c r="M94" s="17">
        <v>0.2</v>
      </c>
      <c r="N94" s="17">
        <v>0.2</v>
      </c>
      <c r="O94" s="17">
        <v>0.2</v>
      </c>
      <c r="P94" s="17">
        <v>0.2</v>
      </c>
      <c r="Q94" s="17">
        <v>0.2</v>
      </c>
      <c r="R94" s="17">
        <v>0.2</v>
      </c>
      <c r="S94" s="17">
        <v>0.2</v>
      </c>
      <c r="T94" s="17">
        <v>0.2</v>
      </c>
      <c r="U94" s="17">
        <v>0.5</v>
      </c>
      <c r="V94" s="17">
        <v>0.5</v>
      </c>
      <c r="W94" s="17">
        <v>0.5</v>
      </c>
      <c r="X94" s="17">
        <v>0.5</v>
      </c>
      <c r="Y94" s="17">
        <v>0.5</v>
      </c>
      <c r="Z94" s="17">
        <v>0.5</v>
      </c>
      <c r="AA94" s="17">
        <v>1</v>
      </c>
      <c r="AB94" s="17">
        <v>1</v>
      </c>
      <c r="AC94" s="17">
        <v>1</v>
      </c>
      <c r="AD94" s="17">
        <v>1</v>
      </c>
      <c r="AE94" s="17">
        <v>1</v>
      </c>
      <c r="AF94" s="17">
        <v>1</v>
      </c>
      <c r="AG94" s="17">
        <v>2</v>
      </c>
      <c r="AH94" s="17">
        <v>2</v>
      </c>
      <c r="AI94" s="17">
        <v>2</v>
      </c>
      <c r="AJ94" s="17">
        <v>2</v>
      </c>
      <c r="AK94" s="17">
        <v>2</v>
      </c>
      <c r="AL94" s="17">
        <v>2</v>
      </c>
      <c r="AM94" s="17">
        <v>2</v>
      </c>
      <c r="AN94" s="17">
        <v>2</v>
      </c>
      <c r="AO94" s="17">
        <v>2</v>
      </c>
      <c r="AP94" s="17">
        <v>2</v>
      </c>
      <c r="AQ94" s="17">
        <v>2</v>
      </c>
      <c r="AR94" s="17">
        <v>2</v>
      </c>
      <c r="AS94" s="17">
        <v>2</v>
      </c>
      <c r="AT94" s="17">
        <v>2</v>
      </c>
      <c r="AU94" s="17">
        <v>2</v>
      </c>
      <c r="AV94" s="17">
        <v>2</v>
      </c>
      <c r="AW94" s="17">
        <v>2</v>
      </c>
      <c r="AX94" s="17">
        <v>2</v>
      </c>
      <c r="AY94" s="17">
        <v>2</v>
      </c>
      <c r="AZ94" s="17">
        <v>2</v>
      </c>
      <c r="BA94" s="17">
        <v>2</v>
      </c>
      <c r="BB94" s="17">
        <v>2</v>
      </c>
      <c r="BC94" s="17">
        <v>2</v>
      </c>
      <c r="BD94" s="17">
        <v>2</v>
      </c>
      <c r="BE94" s="17">
        <v>2</v>
      </c>
      <c r="BF94" s="17">
        <v>2</v>
      </c>
      <c r="BG94" s="17">
        <v>2</v>
      </c>
      <c r="BH94" s="17">
        <v>2</v>
      </c>
      <c r="BI94" s="17">
        <v>2</v>
      </c>
      <c r="BJ94" s="17">
        <v>2</v>
      </c>
      <c r="BK94" s="17">
        <v>2</v>
      </c>
      <c r="BL94" s="17">
        <v>2</v>
      </c>
      <c r="BM94" s="17">
        <v>2</v>
      </c>
      <c r="BN94" s="17">
        <v>2</v>
      </c>
      <c r="BO94" s="17">
        <v>2</v>
      </c>
      <c r="BP94" s="17">
        <v>2</v>
      </c>
    </row>
    <row r="95" spans="6:68" ht="15" x14ac:dyDescent="0.25">
      <c r="F95" s="22" t="s">
        <v>316</v>
      </c>
      <c r="G95" s="18" t="s">
        <v>86</v>
      </c>
      <c r="H95" s="28">
        <f>IFERROR(INDEX(tblStaff[Salary],MATCH(Assumptions!G95,tblStaff[Staff],0)),0)</f>
        <v>120000</v>
      </c>
      <c r="I95" s="17"/>
      <c r="J95" s="17"/>
      <c r="K95" s="17"/>
      <c r="L95" s="17"/>
      <c r="M95" s="17"/>
      <c r="N95" s="17"/>
      <c r="O95" s="17"/>
      <c r="P95" s="17"/>
      <c r="Q95" s="17"/>
      <c r="R95" s="17"/>
      <c r="S95" s="17"/>
      <c r="T95" s="17"/>
      <c r="U95" s="17">
        <v>1</v>
      </c>
      <c r="V95" s="17">
        <v>1</v>
      </c>
      <c r="W95" s="17">
        <v>1</v>
      </c>
      <c r="X95" s="17">
        <v>1</v>
      </c>
      <c r="Y95" s="17">
        <v>1</v>
      </c>
      <c r="Z95" s="17">
        <v>1</v>
      </c>
      <c r="AA95" s="17">
        <v>1</v>
      </c>
      <c r="AB95" s="17">
        <v>1</v>
      </c>
      <c r="AC95" s="17">
        <v>1</v>
      </c>
      <c r="AD95" s="17">
        <v>1</v>
      </c>
      <c r="AE95" s="17">
        <v>1</v>
      </c>
      <c r="AF95" s="17">
        <v>1</v>
      </c>
      <c r="AG95" s="17">
        <v>1</v>
      </c>
      <c r="AH95" s="17">
        <v>1</v>
      </c>
      <c r="AI95" s="17">
        <v>1</v>
      </c>
      <c r="AJ95" s="17">
        <v>1</v>
      </c>
      <c r="AK95" s="17">
        <v>1</v>
      </c>
      <c r="AL95" s="17">
        <v>1</v>
      </c>
      <c r="AM95" s="17">
        <v>1</v>
      </c>
      <c r="AN95" s="17">
        <v>1</v>
      </c>
      <c r="AO95" s="17">
        <v>1</v>
      </c>
      <c r="AP95" s="17">
        <v>1</v>
      </c>
      <c r="AQ95" s="17">
        <v>1</v>
      </c>
      <c r="AR95" s="17">
        <f>AR92-1</f>
        <v>2</v>
      </c>
      <c r="AS95" s="17">
        <f t="shared" ref="AS95:BP95" si="14">AS92-1</f>
        <v>3</v>
      </c>
      <c r="AT95" s="17">
        <f t="shared" si="14"/>
        <v>3</v>
      </c>
      <c r="AU95" s="17">
        <f t="shared" si="14"/>
        <v>3</v>
      </c>
      <c r="AV95" s="17">
        <f t="shared" si="14"/>
        <v>3</v>
      </c>
      <c r="AW95" s="17">
        <f t="shared" si="14"/>
        <v>3</v>
      </c>
      <c r="AX95" s="17">
        <f t="shared" si="14"/>
        <v>3</v>
      </c>
      <c r="AY95" s="17">
        <f t="shared" si="14"/>
        <v>4</v>
      </c>
      <c r="AZ95" s="17">
        <f t="shared" si="14"/>
        <v>4</v>
      </c>
      <c r="BA95" s="17">
        <f t="shared" si="14"/>
        <v>4</v>
      </c>
      <c r="BB95" s="17">
        <f t="shared" si="14"/>
        <v>4</v>
      </c>
      <c r="BC95" s="17">
        <f t="shared" si="14"/>
        <v>4</v>
      </c>
      <c r="BD95" s="17">
        <f t="shared" si="14"/>
        <v>4</v>
      </c>
      <c r="BE95" s="17">
        <f t="shared" si="14"/>
        <v>5</v>
      </c>
      <c r="BF95" s="17">
        <f t="shared" si="14"/>
        <v>5</v>
      </c>
      <c r="BG95" s="17">
        <f t="shared" si="14"/>
        <v>5</v>
      </c>
      <c r="BH95" s="17">
        <f t="shared" si="14"/>
        <v>5</v>
      </c>
      <c r="BI95" s="17">
        <f t="shared" si="14"/>
        <v>5</v>
      </c>
      <c r="BJ95" s="17">
        <f t="shared" si="14"/>
        <v>5</v>
      </c>
      <c r="BK95" s="17">
        <f t="shared" si="14"/>
        <v>6</v>
      </c>
      <c r="BL95" s="17">
        <f t="shared" si="14"/>
        <v>6</v>
      </c>
      <c r="BM95" s="17">
        <f t="shared" si="14"/>
        <v>6</v>
      </c>
      <c r="BN95" s="17">
        <f t="shared" si="14"/>
        <v>6</v>
      </c>
      <c r="BO95" s="17">
        <f t="shared" si="14"/>
        <v>6</v>
      </c>
      <c r="BP95" s="17">
        <f t="shared" si="14"/>
        <v>6</v>
      </c>
    </row>
    <row r="96" spans="6:68" ht="15" x14ac:dyDescent="0.25">
      <c r="F96" s="22" t="s">
        <v>316</v>
      </c>
      <c r="G96" s="18" t="s">
        <v>87</v>
      </c>
      <c r="H96" s="28">
        <f>IFERROR(INDEX(tblStaff[Salary],MATCH(Assumptions!G96,tblStaff[Staff],0)),0)</f>
        <v>100000</v>
      </c>
      <c r="I96" s="17"/>
      <c r="J96" s="17"/>
      <c r="K96" s="17"/>
      <c r="L96" s="17"/>
      <c r="M96" s="17"/>
      <c r="N96" s="17"/>
      <c r="O96" s="17"/>
      <c r="P96" s="17"/>
      <c r="Q96" s="17"/>
      <c r="R96" s="17"/>
      <c r="S96" s="17"/>
      <c r="T96" s="17"/>
      <c r="U96" s="17"/>
      <c r="V96" s="17"/>
      <c r="W96" s="17"/>
      <c r="X96" s="17"/>
      <c r="Y96" s="17"/>
      <c r="Z96" s="17">
        <v>1</v>
      </c>
      <c r="AA96" s="17">
        <v>1</v>
      </c>
      <c r="AB96" s="17">
        <v>1</v>
      </c>
      <c r="AC96" s="17">
        <v>2</v>
      </c>
      <c r="AD96" s="17">
        <v>2</v>
      </c>
      <c r="AE96" s="17">
        <v>2</v>
      </c>
      <c r="AF96" s="17">
        <v>3</v>
      </c>
      <c r="AG96" s="17">
        <v>3</v>
      </c>
      <c r="AH96" s="17">
        <v>3</v>
      </c>
      <c r="AI96" s="17">
        <v>4</v>
      </c>
      <c r="AJ96" s="17">
        <v>4</v>
      </c>
      <c r="AK96" s="17">
        <v>4</v>
      </c>
      <c r="AL96" s="17">
        <v>5</v>
      </c>
      <c r="AM96" s="17">
        <v>5</v>
      </c>
      <c r="AN96" s="17">
        <v>5</v>
      </c>
      <c r="AO96" s="17">
        <v>6</v>
      </c>
      <c r="AP96" s="17">
        <v>6</v>
      </c>
      <c r="AQ96" s="17">
        <v>6</v>
      </c>
      <c r="AR96" s="17">
        <f>AR93</f>
        <v>6</v>
      </c>
      <c r="AS96" s="17">
        <f t="shared" ref="AS96:BP96" si="15">AS93</f>
        <v>8</v>
      </c>
      <c r="AT96" s="17">
        <f t="shared" si="15"/>
        <v>8</v>
      </c>
      <c r="AU96" s="17">
        <f t="shared" si="15"/>
        <v>8</v>
      </c>
      <c r="AV96" s="17">
        <f t="shared" si="15"/>
        <v>8</v>
      </c>
      <c r="AW96" s="17">
        <f t="shared" si="15"/>
        <v>8</v>
      </c>
      <c r="AX96" s="17">
        <f t="shared" si="15"/>
        <v>8</v>
      </c>
      <c r="AY96" s="17">
        <f t="shared" si="15"/>
        <v>10</v>
      </c>
      <c r="AZ96" s="17">
        <f t="shared" si="15"/>
        <v>10</v>
      </c>
      <c r="BA96" s="17">
        <f t="shared" si="15"/>
        <v>10</v>
      </c>
      <c r="BB96" s="17">
        <f t="shared" si="15"/>
        <v>10</v>
      </c>
      <c r="BC96" s="17">
        <f t="shared" si="15"/>
        <v>10</v>
      </c>
      <c r="BD96" s="17">
        <f t="shared" si="15"/>
        <v>10</v>
      </c>
      <c r="BE96" s="17">
        <f t="shared" si="15"/>
        <v>12</v>
      </c>
      <c r="BF96" s="17">
        <f t="shared" si="15"/>
        <v>12</v>
      </c>
      <c r="BG96" s="17">
        <f t="shared" si="15"/>
        <v>12</v>
      </c>
      <c r="BH96" s="17">
        <f t="shared" si="15"/>
        <v>12</v>
      </c>
      <c r="BI96" s="17">
        <f t="shared" si="15"/>
        <v>12</v>
      </c>
      <c r="BJ96" s="17">
        <f t="shared" si="15"/>
        <v>12</v>
      </c>
      <c r="BK96" s="17">
        <f t="shared" si="15"/>
        <v>14</v>
      </c>
      <c r="BL96" s="17">
        <f t="shared" si="15"/>
        <v>14</v>
      </c>
      <c r="BM96" s="17">
        <f t="shared" si="15"/>
        <v>14</v>
      </c>
      <c r="BN96" s="17">
        <f t="shared" si="15"/>
        <v>14</v>
      </c>
      <c r="BO96" s="17">
        <f t="shared" si="15"/>
        <v>14</v>
      </c>
      <c r="BP96" s="17">
        <f t="shared" si="15"/>
        <v>14</v>
      </c>
    </row>
    <row r="97" spans="6:68" ht="15" x14ac:dyDescent="0.25">
      <c r="F97" s="22"/>
      <c r="G97" s="18"/>
      <c r="H97" s="28">
        <f>IFERROR(INDEX(tblStaff[Salary],MATCH(Assumptions!G97,tblStaff[Staff],0)),0)</f>
        <v>0</v>
      </c>
      <c r="I97" s="17"/>
      <c r="J97" s="17"/>
      <c r="K97" s="17"/>
      <c r="L97" s="17"/>
      <c r="M97" s="17"/>
      <c r="N97" s="17"/>
      <c r="O97" s="17"/>
      <c r="P97" s="17"/>
      <c r="Q97" s="17"/>
      <c r="R97" s="17"/>
      <c r="S97" s="17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7"/>
      <c r="AL97" s="17"/>
      <c r="AM97" s="17"/>
      <c r="AN97" s="17"/>
      <c r="AO97" s="17"/>
      <c r="AP97" s="17"/>
      <c r="AQ97" s="17"/>
      <c r="AR97" s="17"/>
      <c r="AS97" s="17"/>
      <c r="AT97" s="17"/>
      <c r="AU97" s="17"/>
      <c r="AV97" s="17"/>
      <c r="AW97" s="17"/>
      <c r="AX97" s="17"/>
      <c r="AY97" s="17"/>
      <c r="AZ97" s="17"/>
      <c r="BA97" s="17"/>
      <c r="BB97" s="17"/>
      <c r="BC97" s="17"/>
      <c r="BD97" s="17"/>
      <c r="BE97" s="17"/>
      <c r="BF97" s="17"/>
      <c r="BG97" s="17"/>
      <c r="BH97" s="17"/>
      <c r="BI97" s="17"/>
      <c r="BJ97" s="17"/>
      <c r="BK97" s="17"/>
      <c r="BL97" s="17"/>
      <c r="BM97" s="17"/>
      <c r="BN97" s="17"/>
      <c r="BO97" s="17"/>
      <c r="BP97" s="17"/>
    </row>
    <row r="98" spans="6:68" ht="15" x14ac:dyDescent="0.25">
      <c r="F98" s="22" t="s">
        <v>316</v>
      </c>
      <c r="G98" s="18" t="s">
        <v>100</v>
      </c>
      <c r="H98" s="28">
        <f>IFERROR(INDEX(tblStaff[Salary],MATCH(Assumptions!G98,tblStaff[Staff],0)),0)</f>
        <v>150000</v>
      </c>
      <c r="I98" s="17">
        <v>0.5</v>
      </c>
      <c r="J98" s="17">
        <v>0.5</v>
      </c>
      <c r="K98" s="17">
        <v>0.5</v>
      </c>
      <c r="L98" s="17">
        <v>0.5</v>
      </c>
      <c r="M98" s="17">
        <v>0.5</v>
      </c>
      <c r="N98" s="17">
        <v>0.5</v>
      </c>
      <c r="O98" s="17">
        <v>0.5</v>
      </c>
      <c r="P98" s="17">
        <v>0.5</v>
      </c>
      <c r="Q98" s="17">
        <v>0.5</v>
      </c>
      <c r="R98" s="17">
        <v>0.5</v>
      </c>
      <c r="S98" s="17">
        <v>0.5</v>
      </c>
      <c r="T98" s="17">
        <v>1</v>
      </c>
      <c r="U98" s="17">
        <v>1</v>
      </c>
      <c r="V98" s="17">
        <v>1</v>
      </c>
      <c r="W98" s="17">
        <v>1</v>
      </c>
      <c r="X98" s="17">
        <v>1</v>
      </c>
      <c r="Y98" s="17">
        <v>1</v>
      </c>
      <c r="Z98" s="17">
        <v>1</v>
      </c>
      <c r="AA98" s="17">
        <v>1</v>
      </c>
      <c r="AB98" s="17">
        <v>1</v>
      </c>
      <c r="AC98" s="17">
        <v>1</v>
      </c>
      <c r="AD98" s="17">
        <v>1</v>
      </c>
      <c r="AE98" s="17">
        <v>1</v>
      </c>
      <c r="AF98" s="17">
        <v>1</v>
      </c>
      <c r="AG98" s="17">
        <v>1</v>
      </c>
      <c r="AH98" s="17">
        <v>1</v>
      </c>
      <c r="AI98" s="17">
        <v>1</v>
      </c>
      <c r="AJ98" s="17">
        <v>1</v>
      </c>
      <c r="AK98" s="17">
        <v>1</v>
      </c>
      <c r="AL98" s="17">
        <v>1</v>
      </c>
      <c r="AM98" s="17">
        <v>1</v>
      </c>
      <c r="AN98" s="17">
        <v>1</v>
      </c>
      <c r="AO98" s="17">
        <v>1</v>
      </c>
      <c r="AP98" s="17">
        <v>1</v>
      </c>
      <c r="AQ98" s="17">
        <v>1</v>
      </c>
      <c r="AR98" s="17">
        <v>1</v>
      </c>
      <c r="AS98" s="17">
        <v>1</v>
      </c>
      <c r="AT98" s="17">
        <v>1</v>
      </c>
      <c r="AU98" s="17">
        <v>1</v>
      </c>
      <c r="AV98" s="17">
        <v>1</v>
      </c>
      <c r="AW98" s="17">
        <v>1</v>
      </c>
      <c r="AX98" s="17">
        <v>1</v>
      </c>
      <c r="AY98" s="17">
        <v>1</v>
      </c>
      <c r="AZ98" s="17">
        <v>1</v>
      </c>
      <c r="BA98" s="17">
        <v>1</v>
      </c>
      <c r="BB98" s="17">
        <v>1</v>
      </c>
      <c r="BC98" s="17">
        <v>1</v>
      </c>
      <c r="BD98" s="17">
        <v>1</v>
      </c>
      <c r="BE98" s="17">
        <v>1</v>
      </c>
      <c r="BF98" s="17">
        <v>1</v>
      </c>
      <c r="BG98" s="17">
        <v>1</v>
      </c>
      <c r="BH98" s="17">
        <v>1</v>
      </c>
      <c r="BI98" s="17">
        <v>1</v>
      </c>
      <c r="BJ98" s="17">
        <v>1</v>
      </c>
      <c r="BK98" s="17">
        <v>1</v>
      </c>
      <c r="BL98" s="17">
        <v>1</v>
      </c>
      <c r="BM98" s="17">
        <v>1</v>
      </c>
      <c r="BN98" s="17">
        <v>1</v>
      </c>
      <c r="BO98" s="17">
        <v>1</v>
      </c>
      <c r="BP98" s="17">
        <v>1</v>
      </c>
    </row>
    <row r="99" spans="6:68" ht="15" x14ac:dyDescent="0.25">
      <c r="F99" s="22" t="s">
        <v>316</v>
      </c>
      <c r="G99" s="18" t="s">
        <v>101</v>
      </c>
      <c r="H99" s="28">
        <f>IFERROR(INDEX(tblStaff[Salary],MATCH(Assumptions!G99,tblStaff[Staff],0)),0)</f>
        <v>80000</v>
      </c>
      <c r="I99" s="17"/>
      <c r="J99" s="17"/>
      <c r="K99" s="17"/>
      <c r="L99" s="17"/>
      <c r="M99" s="17"/>
      <c r="N99" s="17"/>
      <c r="O99" s="17">
        <v>0.5</v>
      </c>
      <c r="P99" s="17">
        <v>0.5</v>
      </c>
      <c r="Q99" s="17">
        <v>0.5</v>
      </c>
      <c r="R99" s="17">
        <v>0.5</v>
      </c>
      <c r="S99" s="17">
        <v>0.5</v>
      </c>
      <c r="T99" s="17">
        <v>0.5</v>
      </c>
      <c r="U99" s="17">
        <v>1</v>
      </c>
      <c r="V99" s="17">
        <v>1</v>
      </c>
      <c r="W99" s="17">
        <v>1</v>
      </c>
      <c r="X99" s="17">
        <v>1</v>
      </c>
      <c r="Y99" s="17">
        <v>1</v>
      </c>
      <c r="Z99" s="17">
        <v>1</v>
      </c>
      <c r="AA99" s="17">
        <v>1</v>
      </c>
      <c r="AB99" s="17">
        <v>1</v>
      </c>
      <c r="AC99" s="17">
        <v>1</v>
      </c>
      <c r="AD99" s="17">
        <v>1</v>
      </c>
      <c r="AE99" s="17">
        <v>1</v>
      </c>
      <c r="AF99" s="17">
        <v>1</v>
      </c>
      <c r="AG99" s="17">
        <v>1</v>
      </c>
      <c r="AH99" s="17">
        <v>1</v>
      </c>
      <c r="AI99" s="17">
        <v>1</v>
      </c>
      <c r="AJ99" s="17">
        <v>1</v>
      </c>
      <c r="AK99" s="17">
        <v>1</v>
      </c>
      <c r="AL99" s="17">
        <v>1</v>
      </c>
      <c r="AM99" s="17">
        <v>1</v>
      </c>
      <c r="AN99" s="17">
        <v>1</v>
      </c>
      <c r="AO99" s="17">
        <v>1</v>
      </c>
      <c r="AP99" s="17">
        <v>1</v>
      </c>
      <c r="AQ99" s="17">
        <v>1</v>
      </c>
      <c r="AR99" s="17">
        <v>1</v>
      </c>
      <c r="AS99" s="17">
        <v>1</v>
      </c>
      <c r="AT99" s="17">
        <v>1</v>
      </c>
      <c r="AU99" s="17">
        <v>1</v>
      </c>
      <c r="AV99" s="17">
        <v>1</v>
      </c>
      <c r="AW99" s="17">
        <v>1</v>
      </c>
      <c r="AX99" s="17">
        <v>1</v>
      </c>
      <c r="AY99" s="17">
        <v>1</v>
      </c>
      <c r="AZ99" s="17">
        <v>1</v>
      </c>
      <c r="BA99" s="17">
        <v>1</v>
      </c>
      <c r="BB99" s="17">
        <v>1</v>
      </c>
      <c r="BC99" s="17">
        <v>1</v>
      </c>
      <c r="BD99" s="17">
        <v>1</v>
      </c>
      <c r="BE99" s="17">
        <v>1</v>
      </c>
      <c r="BF99" s="17">
        <v>1</v>
      </c>
      <c r="BG99" s="17">
        <v>1</v>
      </c>
      <c r="BH99" s="17">
        <v>1</v>
      </c>
      <c r="BI99" s="17">
        <v>1</v>
      </c>
      <c r="BJ99" s="17">
        <v>1</v>
      </c>
      <c r="BK99" s="17">
        <v>1</v>
      </c>
      <c r="BL99" s="17">
        <v>1</v>
      </c>
      <c r="BM99" s="17">
        <v>1</v>
      </c>
      <c r="BN99" s="17">
        <v>1</v>
      </c>
      <c r="BO99" s="17">
        <v>1</v>
      </c>
      <c r="BP99" s="17">
        <v>1</v>
      </c>
    </row>
    <row r="100" spans="6:68" ht="15" x14ac:dyDescent="0.25">
      <c r="F100" s="22" t="s">
        <v>316</v>
      </c>
      <c r="G100" s="18" t="s">
        <v>102</v>
      </c>
      <c r="H100" s="28">
        <f>IFERROR(INDEX(tblStaff[Salary],MATCH(Assumptions!G100,tblStaff[Staff],0)),0)</f>
        <v>60000</v>
      </c>
      <c r="I100" s="17"/>
      <c r="J100" s="17"/>
      <c r="K100" s="17"/>
      <c r="L100" s="17"/>
      <c r="M100" s="17"/>
      <c r="N100" s="17"/>
      <c r="O100" s="17"/>
      <c r="P100" s="17"/>
      <c r="Q100" s="17"/>
      <c r="R100" s="17"/>
      <c r="S100" s="17"/>
      <c r="T100" s="17"/>
      <c r="U100" s="17"/>
      <c r="V100" s="17"/>
      <c r="W100" s="17"/>
      <c r="X100" s="17"/>
      <c r="Y100" s="17"/>
      <c r="Z100" s="17">
        <v>1</v>
      </c>
      <c r="AA100" s="17">
        <v>1</v>
      </c>
      <c r="AB100" s="17">
        <v>1</v>
      </c>
      <c r="AC100" s="17">
        <v>1</v>
      </c>
      <c r="AD100" s="17">
        <v>1</v>
      </c>
      <c r="AE100" s="17">
        <v>1</v>
      </c>
      <c r="AF100" s="17">
        <v>1</v>
      </c>
      <c r="AG100" s="17">
        <v>1</v>
      </c>
      <c r="AH100" s="17">
        <v>1</v>
      </c>
      <c r="AI100" s="17">
        <v>1</v>
      </c>
      <c r="AJ100" s="17">
        <v>1</v>
      </c>
      <c r="AK100" s="17">
        <v>1</v>
      </c>
      <c r="AL100" s="17">
        <v>1</v>
      </c>
      <c r="AM100" s="17">
        <v>1</v>
      </c>
      <c r="AN100" s="17">
        <v>1</v>
      </c>
      <c r="AO100" s="17">
        <v>1</v>
      </c>
      <c r="AP100" s="17">
        <v>1</v>
      </c>
      <c r="AQ100" s="17">
        <v>1</v>
      </c>
      <c r="AR100" s="17">
        <v>1</v>
      </c>
      <c r="AS100" s="17">
        <v>2</v>
      </c>
      <c r="AT100" s="17">
        <v>2</v>
      </c>
      <c r="AU100" s="17">
        <v>2</v>
      </c>
      <c r="AV100" s="17">
        <v>2</v>
      </c>
      <c r="AW100" s="17">
        <v>2</v>
      </c>
      <c r="AX100" s="17">
        <v>2</v>
      </c>
      <c r="AY100" s="17">
        <v>2</v>
      </c>
      <c r="AZ100" s="17">
        <v>2</v>
      </c>
      <c r="BA100" s="17">
        <v>2</v>
      </c>
      <c r="BB100" s="17">
        <v>2</v>
      </c>
      <c r="BC100" s="17">
        <v>2</v>
      </c>
      <c r="BD100" s="17">
        <v>2</v>
      </c>
      <c r="BE100" s="17">
        <v>3</v>
      </c>
      <c r="BF100" s="17">
        <v>3</v>
      </c>
      <c r="BG100" s="17">
        <v>3</v>
      </c>
      <c r="BH100" s="17">
        <v>3</v>
      </c>
      <c r="BI100" s="17">
        <v>3</v>
      </c>
      <c r="BJ100" s="17">
        <v>3</v>
      </c>
      <c r="BK100" s="17">
        <v>3</v>
      </c>
      <c r="BL100" s="17">
        <v>3</v>
      </c>
      <c r="BM100" s="17">
        <v>3</v>
      </c>
      <c r="BN100" s="17">
        <v>3</v>
      </c>
      <c r="BO100" s="17">
        <v>3</v>
      </c>
      <c r="BP100" s="17">
        <v>3</v>
      </c>
    </row>
    <row r="101" spans="6:68" ht="15" x14ac:dyDescent="0.25">
      <c r="F101" s="22" t="s">
        <v>316</v>
      </c>
      <c r="G101" s="18" t="s">
        <v>103</v>
      </c>
      <c r="H101" s="28">
        <f>IFERROR(INDEX(tblStaff[Salary],MATCH(Assumptions!G101,tblStaff[Staff],0)),0)</f>
        <v>60000</v>
      </c>
      <c r="I101" s="17"/>
      <c r="J101" s="17"/>
      <c r="K101" s="17">
        <v>0.25</v>
      </c>
      <c r="L101" s="17">
        <v>0.25</v>
      </c>
      <c r="M101" s="17">
        <v>0.25</v>
      </c>
      <c r="N101" s="17">
        <v>0.25</v>
      </c>
      <c r="O101" s="17">
        <v>0.5</v>
      </c>
      <c r="P101" s="17">
        <v>0.5</v>
      </c>
      <c r="Q101" s="17">
        <v>0.5</v>
      </c>
      <c r="R101" s="17">
        <v>0.5</v>
      </c>
      <c r="S101" s="17">
        <v>0.5</v>
      </c>
      <c r="T101" s="17">
        <v>0.5</v>
      </c>
      <c r="U101" s="17">
        <v>1</v>
      </c>
      <c r="V101" s="17">
        <v>1</v>
      </c>
      <c r="W101" s="17">
        <v>1</v>
      </c>
      <c r="X101" s="17">
        <v>1</v>
      </c>
      <c r="Y101" s="17">
        <v>1</v>
      </c>
      <c r="Z101" s="17">
        <v>1</v>
      </c>
      <c r="AA101" s="17">
        <v>1</v>
      </c>
      <c r="AB101" s="17">
        <v>1</v>
      </c>
      <c r="AC101" s="17">
        <v>1</v>
      </c>
      <c r="AD101" s="17">
        <v>1</v>
      </c>
      <c r="AE101" s="17">
        <v>1</v>
      </c>
      <c r="AF101" s="17">
        <v>1</v>
      </c>
      <c r="AG101" s="17">
        <f>ROUNDUP(SUM(AG91:AG100)/9,0)</f>
        <v>2</v>
      </c>
      <c r="AH101" s="17">
        <f t="shared" ref="AH101:BP101" si="16">ROUNDUP(SUM(AH91:AH100)/9,0)</f>
        <v>2</v>
      </c>
      <c r="AI101" s="17">
        <f t="shared" si="16"/>
        <v>2</v>
      </c>
      <c r="AJ101" s="17">
        <f t="shared" si="16"/>
        <v>2</v>
      </c>
      <c r="AK101" s="17">
        <f t="shared" si="16"/>
        <v>2</v>
      </c>
      <c r="AL101" s="17">
        <f t="shared" si="16"/>
        <v>3</v>
      </c>
      <c r="AM101" s="17">
        <f t="shared" si="16"/>
        <v>3</v>
      </c>
      <c r="AN101" s="17">
        <f t="shared" si="16"/>
        <v>3</v>
      </c>
      <c r="AO101" s="17">
        <f t="shared" si="16"/>
        <v>3</v>
      </c>
      <c r="AP101" s="17">
        <f t="shared" si="16"/>
        <v>3</v>
      </c>
      <c r="AQ101" s="17">
        <f t="shared" si="16"/>
        <v>3</v>
      </c>
      <c r="AR101" s="17">
        <f t="shared" si="16"/>
        <v>3</v>
      </c>
      <c r="AS101" s="17">
        <f t="shared" si="16"/>
        <v>4</v>
      </c>
      <c r="AT101" s="17">
        <f t="shared" si="16"/>
        <v>4</v>
      </c>
      <c r="AU101" s="17">
        <f t="shared" si="16"/>
        <v>4</v>
      </c>
      <c r="AV101" s="17">
        <f t="shared" si="16"/>
        <v>4</v>
      </c>
      <c r="AW101" s="17">
        <f t="shared" si="16"/>
        <v>4</v>
      </c>
      <c r="AX101" s="17">
        <f t="shared" si="16"/>
        <v>4</v>
      </c>
      <c r="AY101" s="17">
        <f t="shared" si="16"/>
        <v>4</v>
      </c>
      <c r="AZ101" s="17">
        <f t="shared" si="16"/>
        <v>4</v>
      </c>
      <c r="BA101" s="17">
        <f t="shared" si="16"/>
        <v>4</v>
      </c>
      <c r="BB101" s="17">
        <f t="shared" si="16"/>
        <v>4</v>
      </c>
      <c r="BC101" s="17">
        <f t="shared" si="16"/>
        <v>4</v>
      </c>
      <c r="BD101" s="17">
        <f t="shared" si="16"/>
        <v>4</v>
      </c>
      <c r="BE101" s="17">
        <f t="shared" si="16"/>
        <v>5</v>
      </c>
      <c r="BF101" s="17">
        <f t="shared" si="16"/>
        <v>5</v>
      </c>
      <c r="BG101" s="17">
        <f t="shared" si="16"/>
        <v>5</v>
      </c>
      <c r="BH101" s="17">
        <f t="shared" si="16"/>
        <v>5</v>
      </c>
      <c r="BI101" s="17">
        <f t="shared" si="16"/>
        <v>5</v>
      </c>
      <c r="BJ101" s="17">
        <f t="shared" si="16"/>
        <v>5</v>
      </c>
      <c r="BK101" s="17">
        <f t="shared" si="16"/>
        <v>6</v>
      </c>
      <c r="BL101" s="17">
        <f t="shared" si="16"/>
        <v>6</v>
      </c>
      <c r="BM101" s="17">
        <f t="shared" si="16"/>
        <v>6</v>
      </c>
      <c r="BN101" s="17">
        <f t="shared" si="16"/>
        <v>6</v>
      </c>
      <c r="BO101" s="17">
        <f t="shared" si="16"/>
        <v>6</v>
      </c>
      <c r="BP101" s="17">
        <f t="shared" si="16"/>
        <v>6</v>
      </c>
    </row>
    <row r="102" spans="6:68" ht="15" x14ac:dyDescent="0.25">
      <c r="F102" s="22"/>
      <c r="G102" s="18"/>
      <c r="H102" s="28">
        <f>IFERROR(INDEX(tblStaff[Salary],MATCH(Assumptions!G102,tblStaff[Staff],0)),0)</f>
        <v>0</v>
      </c>
      <c r="I102" s="17"/>
      <c r="J102" s="17"/>
      <c r="K102" s="17"/>
      <c r="L102" s="17"/>
      <c r="M102" s="17"/>
      <c r="N102" s="17"/>
      <c r="O102" s="17"/>
      <c r="P102" s="17"/>
      <c r="Q102" s="17"/>
      <c r="R102" s="17"/>
      <c r="S102" s="17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7"/>
      <c r="AL102" s="17"/>
      <c r="AM102" s="17"/>
      <c r="AN102" s="17"/>
      <c r="AO102" s="17"/>
      <c r="AP102" s="17"/>
      <c r="AQ102" s="17"/>
      <c r="AR102" s="17"/>
      <c r="AS102" s="17"/>
      <c r="AT102" s="17"/>
      <c r="AU102" s="17"/>
      <c r="AV102" s="17"/>
      <c r="AW102" s="17"/>
      <c r="AX102" s="17"/>
      <c r="AY102" s="17"/>
      <c r="AZ102" s="17"/>
      <c r="BA102" s="17"/>
      <c r="BB102" s="17"/>
      <c r="BC102" s="17"/>
      <c r="BD102" s="17"/>
      <c r="BE102" s="17"/>
      <c r="BF102" s="17"/>
      <c r="BG102" s="17"/>
      <c r="BH102" s="17"/>
      <c r="BI102" s="17"/>
      <c r="BJ102" s="17"/>
      <c r="BK102" s="17"/>
      <c r="BL102" s="17"/>
      <c r="BM102" s="17"/>
      <c r="BN102" s="17"/>
      <c r="BO102" s="17"/>
      <c r="BP102" s="17"/>
    </row>
    <row r="103" spans="6:68" ht="15" x14ac:dyDescent="0.25">
      <c r="F103" s="22" t="s">
        <v>317</v>
      </c>
      <c r="G103" s="18" t="s">
        <v>82</v>
      </c>
      <c r="H103" s="28">
        <f>IFERROR(INDEX(tblStaff[Salary],MATCH(Assumptions!G103,tblStaff[Staff],0)),0)</f>
        <v>120000</v>
      </c>
      <c r="I103" s="17">
        <v>0</v>
      </c>
      <c r="J103" s="17">
        <v>1</v>
      </c>
      <c r="K103" s="17">
        <v>1</v>
      </c>
      <c r="L103" s="17">
        <v>1</v>
      </c>
      <c r="M103" s="17">
        <v>1</v>
      </c>
      <c r="N103" s="17">
        <v>1</v>
      </c>
      <c r="O103" s="17">
        <v>1</v>
      </c>
      <c r="P103" s="17">
        <v>1</v>
      </c>
      <c r="Q103" s="17">
        <v>1</v>
      </c>
      <c r="R103" s="17">
        <v>1</v>
      </c>
      <c r="S103" s="17">
        <v>1</v>
      </c>
      <c r="T103" s="17">
        <v>1</v>
      </c>
      <c r="U103" s="17">
        <v>1</v>
      </c>
      <c r="V103" s="17">
        <v>1</v>
      </c>
      <c r="W103" s="17">
        <v>1</v>
      </c>
      <c r="X103" s="17">
        <v>1</v>
      </c>
      <c r="Y103" s="17">
        <v>1</v>
      </c>
      <c r="Z103" s="17">
        <v>1</v>
      </c>
      <c r="AA103" s="17">
        <v>1</v>
      </c>
      <c r="AB103" s="17">
        <v>1</v>
      </c>
      <c r="AC103" s="17">
        <v>1</v>
      </c>
      <c r="AD103" s="17">
        <v>1</v>
      </c>
      <c r="AE103" s="17">
        <v>1</v>
      </c>
      <c r="AF103" s="17">
        <v>1</v>
      </c>
      <c r="AG103" s="17">
        <v>1</v>
      </c>
      <c r="AH103" s="17">
        <v>1</v>
      </c>
      <c r="AI103" s="17">
        <v>1</v>
      </c>
      <c r="AJ103" s="17">
        <v>1</v>
      </c>
      <c r="AK103" s="17">
        <v>1</v>
      </c>
      <c r="AL103" s="17">
        <v>1</v>
      </c>
      <c r="AM103" s="17">
        <v>1</v>
      </c>
      <c r="AN103" s="17">
        <v>1</v>
      </c>
      <c r="AO103" s="17">
        <v>1</v>
      </c>
      <c r="AP103" s="17">
        <v>1</v>
      </c>
      <c r="AQ103" s="17">
        <v>1</v>
      </c>
      <c r="AR103" s="17">
        <v>1</v>
      </c>
      <c r="AS103" s="17">
        <v>1</v>
      </c>
      <c r="AT103" s="17">
        <v>1</v>
      </c>
      <c r="AU103" s="17">
        <v>1</v>
      </c>
      <c r="AV103" s="17">
        <v>1</v>
      </c>
      <c r="AW103" s="17">
        <v>1</v>
      </c>
      <c r="AX103" s="17">
        <v>1</v>
      </c>
      <c r="AY103" s="17">
        <v>1</v>
      </c>
      <c r="AZ103" s="17">
        <v>1</v>
      </c>
      <c r="BA103" s="17">
        <v>1</v>
      </c>
      <c r="BB103" s="17">
        <v>1</v>
      </c>
      <c r="BC103" s="17">
        <v>1</v>
      </c>
      <c r="BD103" s="17">
        <v>1</v>
      </c>
      <c r="BE103" s="17">
        <v>1</v>
      </c>
      <c r="BF103" s="17">
        <v>1</v>
      </c>
      <c r="BG103" s="17">
        <v>1</v>
      </c>
      <c r="BH103" s="17">
        <v>1</v>
      </c>
      <c r="BI103" s="17">
        <v>1</v>
      </c>
      <c r="BJ103" s="17">
        <v>1</v>
      </c>
      <c r="BK103" s="17">
        <v>1</v>
      </c>
      <c r="BL103" s="17">
        <v>1</v>
      </c>
      <c r="BM103" s="17">
        <v>1</v>
      </c>
      <c r="BN103" s="17">
        <v>1</v>
      </c>
      <c r="BO103" s="17">
        <v>1</v>
      </c>
      <c r="BP103" s="17">
        <v>1</v>
      </c>
    </row>
    <row r="104" spans="6:68" ht="15" x14ac:dyDescent="0.25">
      <c r="F104" s="22" t="s">
        <v>317</v>
      </c>
      <c r="G104" s="18" t="s">
        <v>83</v>
      </c>
      <c r="H104" s="28">
        <f>IFERROR(INDEX(tblStaff[Salary],MATCH(Assumptions!G104,tblStaff[Staff],0)),0)</f>
        <v>100000</v>
      </c>
      <c r="I104" s="17"/>
      <c r="J104" s="17"/>
      <c r="K104" s="17"/>
      <c r="L104" s="17"/>
      <c r="M104" s="17"/>
      <c r="N104" s="17"/>
      <c r="O104" s="17"/>
      <c r="P104" s="17"/>
      <c r="Q104" s="17"/>
      <c r="R104" s="17"/>
      <c r="S104" s="17"/>
      <c r="T104" s="17"/>
      <c r="U104" s="17">
        <v>1</v>
      </c>
      <c r="V104" s="17">
        <v>1</v>
      </c>
      <c r="W104" s="17">
        <v>1</v>
      </c>
      <c r="X104" s="17">
        <v>1</v>
      </c>
      <c r="Y104" s="17">
        <v>1</v>
      </c>
      <c r="Z104" s="17">
        <v>1</v>
      </c>
      <c r="AA104" s="17">
        <v>1</v>
      </c>
      <c r="AB104" s="17">
        <v>1</v>
      </c>
      <c r="AC104" s="17">
        <v>1</v>
      </c>
      <c r="AD104" s="17">
        <v>1</v>
      </c>
      <c r="AE104" s="17">
        <v>1</v>
      </c>
      <c r="AF104" s="17">
        <v>1</v>
      </c>
      <c r="AG104" s="17">
        <v>2</v>
      </c>
      <c r="AH104" s="17">
        <v>2</v>
      </c>
      <c r="AI104" s="17">
        <v>2</v>
      </c>
      <c r="AJ104" s="17">
        <v>2</v>
      </c>
      <c r="AK104" s="17">
        <v>2</v>
      </c>
      <c r="AL104" s="17">
        <v>2</v>
      </c>
      <c r="AM104" s="17">
        <v>3</v>
      </c>
      <c r="AN104" s="17">
        <v>3</v>
      </c>
      <c r="AO104" s="17">
        <v>3</v>
      </c>
      <c r="AP104" s="17">
        <v>3</v>
      </c>
      <c r="AQ104" s="17">
        <v>3</v>
      </c>
      <c r="AR104" s="17">
        <v>3</v>
      </c>
      <c r="AS104" s="17">
        <v>4</v>
      </c>
      <c r="AT104" s="17">
        <v>4</v>
      </c>
      <c r="AU104" s="17">
        <v>4</v>
      </c>
      <c r="AV104" s="17">
        <v>4</v>
      </c>
      <c r="AW104" s="17">
        <v>4</v>
      </c>
      <c r="AX104" s="17">
        <v>4</v>
      </c>
      <c r="AY104" s="17">
        <v>5</v>
      </c>
      <c r="AZ104" s="17">
        <v>5</v>
      </c>
      <c r="BA104" s="17">
        <v>5</v>
      </c>
      <c r="BB104" s="17">
        <v>5</v>
      </c>
      <c r="BC104" s="17">
        <v>5</v>
      </c>
      <c r="BD104" s="17">
        <v>5</v>
      </c>
      <c r="BE104" s="17">
        <v>6</v>
      </c>
      <c r="BF104" s="17">
        <v>6</v>
      </c>
      <c r="BG104" s="17">
        <v>6</v>
      </c>
      <c r="BH104" s="17">
        <v>6</v>
      </c>
      <c r="BI104" s="17">
        <v>6</v>
      </c>
      <c r="BJ104" s="17">
        <v>6</v>
      </c>
      <c r="BK104" s="17">
        <v>7</v>
      </c>
      <c r="BL104" s="17">
        <v>7</v>
      </c>
      <c r="BM104" s="17">
        <v>7</v>
      </c>
      <c r="BN104" s="17">
        <v>7</v>
      </c>
      <c r="BO104" s="17">
        <v>7</v>
      </c>
      <c r="BP104" s="17">
        <v>7</v>
      </c>
    </row>
    <row r="105" spans="6:68" ht="15" x14ac:dyDescent="0.25">
      <c r="F105" s="22" t="s">
        <v>317</v>
      </c>
      <c r="G105" s="18" t="s">
        <v>84</v>
      </c>
      <c r="H105" s="28">
        <f>IFERROR(INDEX(tblStaff[Salary],MATCH(Assumptions!G105,tblStaff[Staff],0)),0)</f>
        <v>90000</v>
      </c>
      <c r="I105" s="17"/>
      <c r="J105" s="17"/>
      <c r="K105" s="17"/>
      <c r="L105" s="17"/>
      <c r="M105" s="17"/>
      <c r="N105" s="17"/>
      <c r="O105" s="17"/>
      <c r="P105" s="17">
        <v>1</v>
      </c>
      <c r="Q105" s="17">
        <v>1</v>
      </c>
      <c r="R105" s="17">
        <v>1</v>
      </c>
      <c r="S105" s="17">
        <v>1</v>
      </c>
      <c r="T105" s="17">
        <v>1</v>
      </c>
      <c r="U105" s="17">
        <v>2</v>
      </c>
      <c r="V105" s="17">
        <v>2</v>
      </c>
      <c r="W105" s="17">
        <v>2</v>
      </c>
      <c r="X105" s="17">
        <v>2</v>
      </c>
      <c r="Y105" s="17">
        <v>2</v>
      </c>
      <c r="Z105" s="17">
        <v>2</v>
      </c>
      <c r="AA105" s="17">
        <v>2</v>
      </c>
      <c r="AB105" s="17">
        <v>2</v>
      </c>
      <c r="AC105" s="17">
        <v>2</v>
      </c>
      <c r="AD105" s="17">
        <v>2</v>
      </c>
      <c r="AE105" s="17">
        <v>2</v>
      </c>
      <c r="AF105" s="17">
        <v>2</v>
      </c>
      <c r="AG105" s="17">
        <v>4</v>
      </c>
      <c r="AH105" s="17">
        <v>4</v>
      </c>
      <c r="AI105" s="17">
        <v>4</v>
      </c>
      <c r="AJ105" s="17">
        <v>4</v>
      </c>
      <c r="AK105" s="17">
        <v>4</v>
      </c>
      <c r="AL105" s="17">
        <v>5</v>
      </c>
      <c r="AM105" s="17">
        <v>5</v>
      </c>
      <c r="AN105" s="17">
        <v>5</v>
      </c>
      <c r="AO105" s="17">
        <v>5</v>
      </c>
      <c r="AP105" s="17">
        <v>5</v>
      </c>
      <c r="AQ105" s="17">
        <v>5</v>
      </c>
      <c r="AR105" s="17">
        <v>5</v>
      </c>
      <c r="AS105" s="17">
        <v>6</v>
      </c>
      <c r="AT105" s="17">
        <v>6</v>
      </c>
      <c r="AU105" s="17">
        <v>7</v>
      </c>
      <c r="AV105" s="17">
        <v>7</v>
      </c>
      <c r="AW105" s="17">
        <f t="shared" ref="AW105:AX105" si="17">AW104*2</f>
        <v>8</v>
      </c>
      <c r="AX105" s="17">
        <f t="shared" si="17"/>
        <v>8</v>
      </c>
      <c r="AY105" s="17">
        <v>9</v>
      </c>
      <c r="AZ105" s="17">
        <v>9</v>
      </c>
      <c r="BA105" s="17">
        <f t="shared" ref="BA105:BP105" si="18">BA104*2</f>
        <v>10</v>
      </c>
      <c r="BB105" s="17">
        <f t="shared" si="18"/>
        <v>10</v>
      </c>
      <c r="BC105" s="17">
        <f t="shared" si="18"/>
        <v>10</v>
      </c>
      <c r="BD105" s="17">
        <f t="shared" si="18"/>
        <v>10</v>
      </c>
      <c r="BE105" s="17">
        <f t="shared" si="18"/>
        <v>12</v>
      </c>
      <c r="BF105" s="17">
        <f t="shared" si="18"/>
        <v>12</v>
      </c>
      <c r="BG105" s="17">
        <f t="shared" si="18"/>
        <v>12</v>
      </c>
      <c r="BH105" s="17">
        <f t="shared" si="18"/>
        <v>12</v>
      </c>
      <c r="BI105" s="17">
        <f t="shared" si="18"/>
        <v>12</v>
      </c>
      <c r="BJ105" s="17">
        <f t="shared" si="18"/>
        <v>12</v>
      </c>
      <c r="BK105" s="17">
        <f t="shared" si="18"/>
        <v>14</v>
      </c>
      <c r="BL105" s="17">
        <f t="shared" si="18"/>
        <v>14</v>
      </c>
      <c r="BM105" s="17">
        <f t="shared" si="18"/>
        <v>14</v>
      </c>
      <c r="BN105" s="17">
        <f t="shared" si="18"/>
        <v>14</v>
      </c>
      <c r="BO105" s="17">
        <f t="shared" si="18"/>
        <v>14</v>
      </c>
      <c r="BP105" s="17">
        <f t="shared" si="18"/>
        <v>14</v>
      </c>
    </row>
    <row r="106" spans="6:68" ht="15" x14ac:dyDescent="0.25">
      <c r="F106" s="22" t="s">
        <v>317</v>
      </c>
      <c r="G106" s="18" t="s">
        <v>85</v>
      </c>
      <c r="H106" s="28">
        <f>IFERROR(INDEX(tblStaff[Salary],MATCH(Assumptions!G106,tblStaff[Staff],0)),0)</f>
        <v>80000</v>
      </c>
      <c r="I106" s="17">
        <v>0.1</v>
      </c>
      <c r="J106" s="17">
        <v>0.1</v>
      </c>
      <c r="K106" s="17">
        <v>0.1</v>
      </c>
      <c r="L106" s="17">
        <v>0.1</v>
      </c>
      <c r="M106" s="17">
        <v>0.1</v>
      </c>
      <c r="N106" s="17">
        <v>0.1</v>
      </c>
      <c r="O106" s="17">
        <v>0.1</v>
      </c>
      <c r="P106" s="17">
        <v>0.2</v>
      </c>
      <c r="Q106" s="17">
        <v>0.2</v>
      </c>
      <c r="R106" s="17">
        <v>0.2</v>
      </c>
      <c r="S106" s="17">
        <v>0.2</v>
      </c>
      <c r="T106" s="17">
        <v>0.2</v>
      </c>
      <c r="U106" s="17">
        <v>0.5</v>
      </c>
      <c r="V106" s="17">
        <v>0.5</v>
      </c>
      <c r="W106" s="17">
        <v>0.5</v>
      </c>
      <c r="X106" s="17">
        <v>0.5</v>
      </c>
      <c r="Y106" s="17">
        <v>0.5</v>
      </c>
      <c r="Z106" s="17">
        <v>0.5</v>
      </c>
      <c r="AA106" s="17">
        <v>1</v>
      </c>
      <c r="AB106" s="17">
        <v>1</v>
      </c>
      <c r="AC106" s="17">
        <v>1</v>
      </c>
      <c r="AD106" s="17">
        <v>1</v>
      </c>
      <c r="AE106" s="17">
        <v>1</v>
      </c>
      <c r="AF106" s="17">
        <v>1</v>
      </c>
      <c r="AG106" s="17">
        <v>2</v>
      </c>
      <c r="AH106" s="17">
        <v>2</v>
      </c>
      <c r="AI106" s="17">
        <v>2</v>
      </c>
      <c r="AJ106" s="17">
        <v>2</v>
      </c>
      <c r="AK106" s="17">
        <v>2</v>
      </c>
      <c r="AL106" s="17">
        <v>2</v>
      </c>
      <c r="AM106" s="17">
        <v>2</v>
      </c>
      <c r="AN106" s="17">
        <v>2</v>
      </c>
      <c r="AO106" s="17">
        <v>2</v>
      </c>
      <c r="AP106" s="17">
        <v>2</v>
      </c>
      <c r="AQ106" s="17">
        <v>2</v>
      </c>
      <c r="AR106" s="17">
        <v>2</v>
      </c>
      <c r="AS106" s="17">
        <v>2</v>
      </c>
      <c r="AT106" s="17">
        <v>2</v>
      </c>
      <c r="AU106" s="17">
        <v>2</v>
      </c>
      <c r="AV106" s="17">
        <v>2</v>
      </c>
      <c r="AW106" s="17">
        <v>2</v>
      </c>
      <c r="AX106" s="17">
        <v>2</v>
      </c>
      <c r="AY106" s="17">
        <v>2</v>
      </c>
      <c r="AZ106" s="17">
        <v>2</v>
      </c>
      <c r="BA106" s="17">
        <v>2</v>
      </c>
      <c r="BB106" s="17">
        <v>2</v>
      </c>
      <c r="BC106" s="17">
        <v>2</v>
      </c>
      <c r="BD106" s="17">
        <v>2</v>
      </c>
      <c r="BE106" s="17">
        <v>2</v>
      </c>
      <c r="BF106" s="17">
        <v>2</v>
      </c>
      <c r="BG106" s="17">
        <v>2</v>
      </c>
      <c r="BH106" s="17">
        <v>2</v>
      </c>
      <c r="BI106" s="17">
        <v>2</v>
      </c>
      <c r="BJ106" s="17">
        <v>2</v>
      </c>
      <c r="BK106" s="17">
        <v>2</v>
      </c>
      <c r="BL106" s="17">
        <v>2</v>
      </c>
      <c r="BM106" s="17">
        <v>2</v>
      </c>
      <c r="BN106" s="17">
        <v>2</v>
      </c>
      <c r="BO106" s="17">
        <v>2</v>
      </c>
      <c r="BP106" s="17">
        <v>2</v>
      </c>
    </row>
    <row r="107" spans="6:68" ht="15" x14ac:dyDescent="0.25">
      <c r="F107" s="22" t="s">
        <v>317</v>
      </c>
      <c r="G107" s="18" t="s">
        <v>86</v>
      </c>
      <c r="H107" s="28">
        <f>IFERROR(INDEX(tblStaff[Salary],MATCH(Assumptions!G107,tblStaff[Staff],0)),0)</f>
        <v>120000</v>
      </c>
      <c r="I107" s="17"/>
      <c r="J107" s="17"/>
      <c r="K107" s="17"/>
      <c r="L107" s="17"/>
      <c r="M107" s="17"/>
      <c r="N107" s="17"/>
      <c r="O107" s="17"/>
      <c r="P107" s="17"/>
      <c r="Q107" s="17"/>
      <c r="R107" s="17"/>
      <c r="S107" s="17"/>
      <c r="T107" s="17"/>
      <c r="U107" s="17"/>
      <c r="V107" s="17"/>
      <c r="W107" s="17"/>
      <c r="X107" s="17"/>
      <c r="Y107" s="17"/>
      <c r="Z107" s="17">
        <v>1</v>
      </c>
      <c r="AA107" s="17">
        <v>1</v>
      </c>
      <c r="AB107" s="17">
        <v>1</v>
      </c>
      <c r="AC107" s="17">
        <v>1</v>
      </c>
      <c r="AD107" s="17">
        <v>1</v>
      </c>
      <c r="AE107" s="17">
        <v>1</v>
      </c>
      <c r="AF107" s="17">
        <v>1</v>
      </c>
      <c r="AG107" s="17">
        <v>1</v>
      </c>
      <c r="AH107" s="17">
        <v>1</v>
      </c>
      <c r="AI107" s="17">
        <v>1</v>
      </c>
      <c r="AJ107" s="17">
        <v>1</v>
      </c>
      <c r="AK107" s="17">
        <v>1</v>
      </c>
      <c r="AL107" s="17">
        <v>1</v>
      </c>
      <c r="AM107" s="17">
        <v>1</v>
      </c>
      <c r="AN107" s="17">
        <v>1</v>
      </c>
      <c r="AO107" s="17">
        <v>1</v>
      </c>
      <c r="AP107" s="17">
        <v>1</v>
      </c>
      <c r="AQ107" s="17">
        <v>1</v>
      </c>
      <c r="AR107" s="17">
        <f>AR104-1</f>
        <v>2</v>
      </c>
      <c r="AS107" s="17">
        <f t="shared" ref="AS107:BP107" si="19">AS104-1</f>
        <v>3</v>
      </c>
      <c r="AT107" s="17">
        <f t="shared" si="19"/>
        <v>3</v>
      </c>
      <c r="AU107" s="17">
        <f t="shared" si="19"/>
        <v>3</v>
      </c>
      <c r="AV107" s="17">
        <f t="shared" si="19"/>
        <v>3</v>
      </c>
      <c r="AW107" s="17">
        <f t="shared" si="19"/>
        <v>3</v>
      </c>
      <c r="AX107" s="17">
        <f t="shared" si="19"/>
        <v>3</v>
      </c>
      <c r="AY107" s="17">
        <f t="shared" si="19"/>
        <v>4</v>
      </c>
      <c r="AZ107" s="17">
        <f t="shared" si="19"/>
        <v>4</v>
      </c>
      <c r="BA107" s="17">
        <f t="shared" si="19"/>
        <v>4</v>
      </c>
      <c r="BB107" s="17">
        <f t="shared" si="19"/>
        <v>4</v>
      </c>
      <c r="BC107" s="17">
        <f t="shared" si="19"/>
        <v>4</v>
      </c>
      <c r="BD107" s="17">
        <f t="shared" si="19"/>
        <v>4</v>
      </c>
      <c r="BE107" s="17">
        <f t="shared" si="19"/>
        <v>5</v>
      </c>
      <c r="BF107" s="17">
        <f t="shared" si="19"/>
        <v>5</v>
      </c>
      <c r="BG107" s="17">
        <f t="shared" si="19"/>
        <v>5</v>
      </c>
      <c r="BH107" s="17">
        <f t="shared" si="19"/>
        <v>5</v>
      </c>
      <c r="BI107" s="17">
        <f t="shared" si="19"/>
        <v>5</v>
      </c>
      <c r="BJ107" s="17">
        <f t="shared" si="19"/>
        <v>5</v>
      </c>
      <c r="BK107" s="17">
        <f t="shared" si="19"/>
        <v>6</v>
      </c>
      <c r="BL107" s="17">
        <f t="shared" si="19"/>
        <v>6</v>
      </c>
      <c r="BM107" s="17">
        <f t="shared" si="19"/>
        <v>6</v>
      </c>
      <c r="BN107" s="17">
        <f t="shared" si="19"/>
        <v>6</v>
      </c>
      <c r="BO107" s="17">
        <f t="shared" si="19"/>
        <v>6</v>
      </c>
      <c r="BP107" s="17">
        <f t="shared" si="19"/>
        <v>6</v>
      </c>
    </row>
    <row r="108" spans="6:68" ht="15" x14ac:dyDescent="0.25">
      <c r="F108" s="22" t="s">
        <v>317</v>
      </c>
      <c r="G108" s="18" t="s">
        <v>87</v>
      </c>
      <c r="H108" s="28">
        <f>IFERROR(INDEX(tblStaff[Salary],MATCH(Assumptions!G108,tblStaff[Staff],0)),0)</f>
        <v>100000</v>
      </c>
      <c r="I108" s="17"/>
      <c r="J108" s="17"/>
      <c r="K108" s="17"/>
      <c r="L108" s="17"/>
      <c r="M108" s="17"/>
      <c r="N108" s="17"/>
      <c r="O108" s="17"/>
      <c r="P108" s="17"/>
      <c r="Q108" s="17"/>
      <c r="R108" s="17"/>
      <c r="S108" s="17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>
        <v>1</v>
      </c>
      <c r="AH108" s="17">
        <v>1</v>
      </c>
      <c r="AI108" s="17">
        <v>1</v>
      </c>
      <c r="AJ108" s="17">
        <v>2</v>
      </c>
      <c r="AK108" s="17">
        <v>2</v>
      </c>
      <c r="AL108" s="17">
        <v>2</v>
      </c>
      <c r="AM108" s="17">
        <v>3</v>
      </c>
      <c r="AN108" s="17">
        <v>3</v>
      </c>
      <c r="AO108" s="17">
        <v>3</v>
      </c>
      <c r="AP108" s="17">
        <v>4</v>
      </c>
      <c r="AQ108" s="17">
        <v>4</v>
      </c>
      <c r="AR108" s="17">
        <v>4</v>
      </c>
      <c r="AS108" s="17">
        <v>5</v>
      </c>
      <c r="AT108" s="17">
        <v>5</v>
      </c>
      <c r="AU108" s="17">
        <v>5</v>
      </c>
      <c r="AV108" s="17">
        <v>6</v>
      </c>
      <c r="AW108" s="17">
        <v>6</v>
      </c>
      <c r="AX108" s="17">
        <v>6</v>
      </c>
      <c r="AY108" s="17">
        <v>7</v>
      </c>
      <c r="AZ108" s="17">
        <v>7</v>
      </c>
      <c r="BA108" s="17">
        <v>7</v>
      </c>
      <c r="BB108" s="17">
        <v>8</v>
      </c>
      <c r="BC108" s="17">
        <v>8</v>
      </c>
      <c r="BD108" s="17">
        <v>8</v>
      </c>
      <c r="BE108" s="17">
        <v>9</v>
      </c>
      <c r="BF108" s="17">
        <v>9</v>
      </c>
      <c r="BG108" s="17">
        <v>9</v>
      </c>
      <c r="BH108" s="17">
        <v>10</v>
      </c>
      <c r="BI108" s="17">
        <v>10</v>
      </c>
      <c r="BJ108" s="17">
        <v>10</v>
      </c>
      <c r="BK108" s="17">
        <v>11</v>
      </c>
      <c r="BL108" s="17">
        <v>11</v>
      </c>
      <c r="BM108" s="17">
        <v>11</v>
      </c>
      <c r="BN108" s="17">
        <v>12</v>
      </c>
      <c r="BO108" s="17">
        <v>12</v>
      </c>
      <c r="BP108" s="17">
        <v>12</v>
      </c>
    </row>
    <row r="109" spans="6:68" ht="15" x14ac:dyDescent="0.25">
      <c r="F109" s="22"/>
      <c r="G109" s="18"/>
      <c r="H109" s="28">
        <f>IFERROR(INDEX(tblStaff[Salary],MATCH(Assumptions!G109,tblStaff[Staff],0)),0)</f>
        <v>0</v>
      </c>
      <c r="I109" s="17"/>
      <c r="J109" s="17"/>
      <c r="K109" s="17"/>
      <c r="L109" s="17"/>
      <c r="M109" s="17"/>
      <c r="N109" s="17"/>
      <c r="O109" s="17"/>
      <c r="P109" s="17"/>
      <c r="Q109" s="17"/>
      <c r="R109" s="17"/>
      <c r="S109" s="17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7"/>
      <c r="AL109" s="17"/>
      <c r="AM109" s="17"/>
      <c r="AN109" s="17"/>
      <c r="AO109" s="17"/>
      <c r="AP109" s="17"/>
      <c r="AQ109" s="17"/>
      <c r="AR109" s="17"/>
      <c r="AS109" s="17"/>
      <c r="AT109" s="17"/>
      <c r="AU109" s="17"/>
      <c r="AV109" s="17"/>
      <c r="AW109" s="17"/>
      <c r="AX109" s="17"/>
      <c r="AY109" s="17"/>
      <c r="AZ109" s="17"/>
      <c r="BA109" s="17"/>
      <c r="BB109" s="17"/>
      <c r="BC109" s="17"/>
      <c r="BD109" s="17"/>
      <c r="BE109" s="17"/>
      <c r="BF109" s="17"/>
      <c r="BG109" s="17"/>
      <c r="BH109" s="17"/>
      <c r="BI109" s="17"/>
      <c r="BJ109" s="17"/>
      <c r="BK109" s="17"/>
      <c r="BL109" s="17"/>
      <c r="BM109" s="17"/>
      <c r="BN109" s="17"/>
      <c r="BO109" s="17"/>
      <c r="BP109" s="17"/>
    </row>
    <row r="110" spans="6:68" ht="15" x14ac:dyDescent="0.25">
      <c r="F110" s="22" t="s">
        <v>317</v>
      </c>
      <c r="G110" s="18" t="s">
        <v>100</v>
      </c>
      <c r="H110" s="28">
        <f>IFERROR(INDEX(tblStaff[Salary],MATCH(Assumptions!G110,tblStaff[Staff],0)),0)</f>
        <v>150000</v>
      </c>
      <c r="I110" s="17">
        <v>0.4</v>
      </c>
      <c r="J110" s="17">
        <v>0.4</v>
      </c>
      <c r="K110" s="17">
        <v>0.4</v>
      </c>
      <c r="L110" s="17">
        <v>0.4</v>
      </c>
      <c r="M110" s="17">
        <v>0.4</v>
      </c>
      <c r="N110" s="17">
        <v>0.4</v>
      </c>
      <c r="O110" s="17">
        <v>0.4</v>
      </c>
      <c r="P110" s="17">
        <v>0.4</v>
      </c>
      <c r="Q110" s="17">
        <v>0.4</v>
      </c>
      <c r="R110" s="17">
        <v>0.4</v>
      </c>
      <c r="S110" s="17">
        <v>0.4</v>
      </c>
      <c r="T110" s="17">
        <v>0.4</v>
      </c>
      <c r="U110" s="17">
        <v>1</v>
      </c>
      <c r="V110" s="17">
        <v>1</v>
      </c>
      <c r="W110" s="17">
        <v>1</v>
      </c>
      <c r="X110" s="17">
        <v>1</v>
      </c>
      <c r="Y110" s="17">
        <v>1</v>
      </c>
      <c r="Z110" s="17">
        <v>1</v>
      </c>
      <c r="AA110" s="17">
        <v>1</v>
      </c>
      <c r="AB110" s="17">
        <v>1</v>
      </c>
      <c r="AC110" s="17">
        <v>1</v>
      </c>
      <c r="AD110" s="17">
        <v>1</v>
      </c>
      <c r="AE110" s="17">
        <v>1</v>
      </c>
      <c r="AF110" s="17">
        <v>1</v>
      </c>
      <c r="AG110" s="17">
        <v>1</v>
      </c>
      <c r="AH110" s="17">
        <v>1</v>
      </c>
      <c r="AI110" s="17">
        <v>1</v>
      </c>
      <c r="AJ110" s="17">
        <v>1</v>
      </c>
      <c r="AK110" s="17">
        <v>1</v>
      </c>
      <c r="AL110" s="17">
        <v>1</v>
      </c>
      <c r="AM110" s="17">
        <v>1</v>
      </c>
      <c r="AN110" s="17">
        <v>1</v>
      </c>
      <c r="AO110" s="17">
        <v>1</v>
      </c>
      <c r="AP110" s="17">
        <v>1</v>
      </c>
      <c r="AQ110" s="17">
        <v>1</v>
      </c>
      <c r="AR110" s="17">
        <v>1</v>
      </c>
      <c r="AS110" s="17">
        <v>1</v>
      </c>
      <c r="AT110" s="17">
        <v>1</v>
      </c>
      <c r="AU110" s="17">
        <v>1</v>
      </c>
      <c r="AV110" s="17">
        <v>1</v>
      </c>
      <c r="AW110" s="17">
        <v>1</v>
      </c>
      <c r="AX110" s="17">
        <v>1</v>
      </c>
      <c r="AY110" s="17">
        <v>1</v>
      </c>
      <c r="AZ110" s="17">
        <v>1</v>
      </c>
      <c r="BA110" s="17">
        <v>1</v>
      </c>
      <c r="BB110" s="17">
        <v>1</v>
      </c>
      <c r="BC110" s="17">
        <v>1</v>
      </c>
      <c r="BD110" s="17">
        <v>1</v>
      </c>
      <c r="BE110" s="17">
        <v>1</v>
      </c>
      <c r="BF110" s="17">
        <v>1</v>
      </c>
      <c r="BG110" s="17">
        <v>1</v>
      </c>
      <c r="BH110" s="17">
        <v>1</v>
      </c>
      <c r="BI110" s="17">
        <v>1</v>
      </c>
      <c r="BJ110" s="17">
        <v>1</v>
      </c>
      <c r="BK110" s="17">
        <v>1</v>
      </c>
      <c r="BL110" s="17">
        <v>1</v>
      </c>
      <c r="BM110" s="17">
        <v>1</v>
      </c>
      <c r="BN110" s="17">
        <v>1</v>
      </c>
      <c r="BO110" s="17">
        <v>1</v>
      </c>
      <c r="BP110" s="17">
        <v>1</v>
      </c>
    </row>
    <row r="111" spans="6:68" ht="15" x14ac:dyDescent="0.25">
      <c r="F111" s="22" t="s">
        <v>317</v>
      </c>
      <c r="G111" s="18" t="s">
        <v>101</v>
      </c>
      <c r="H111" s="28">
        <f>IFERROR(INDEX(tblStaff[Salary],MATCH(Assumptions!G111,tblStaff[Staff],0)),0)</f>
        <v>80000</v>
      </c>
      <c r="I111" s="17"/>
      <c r="J111" s="17"/>
      <c r="K111" s="17"/>
      <c r="L111" s="17"/>
      <c r="M111" s="17"/>
      <c r="N111" s="17"/>
      <c r="O111" s="17"/>
      <c r="P111" s="17"/>
      <c r="Q111" s="17"/>
      <c r="R111" s="17"/>
      <c r="S111" s="17"/>
      <c r="T111" s="17"/>
      <c r="U111" s="17">
        <v>1</v>
      </c>
      <c r="V111" s="17">
        <v>1</v>
      </c>
      <c r="W111" s="17">
        <v>1</v>
      </c>
      <c r="X111" s="17">
        <v>1</v>
      </c>
      <c r="Y111" s="17">
        <v>1</v>
      </c>
      <c r="Z111" s="17">
        <v>1</v>
      </c>
      <c r="AA111" s="17">
        <v>1</v>
      </c>
      <c r="AB111" s="17">
        <v>1</v>
      </c>
      <c r="AC111" s="17">
        <v>1</v>
      </c>
      <c r="AD111" s="17">
        <v>1</v>
      </c>
      <c r="AE111" s="17">
        <v>1</v>
      </c>
      <c r="AF111" s="17">
        <v>1</v>
      </c>
      <c r="AG111" s="17">
        <v>1</v>
      </c>
      <c r="AH111" s="17">
        <v>1</v>
      </c>
      <c r="AI111" s="17">
        <v>1</v>
      </c>
      <c r="AJ111" s="17">
        <v>1</v>
      </c>
      <c r="AK111" s="17">
        <v>1</v>
      </c>
      <c r="AL111" s="17">
        <v>1</v>
      </c>
      <c r="AM111" s="17">
        <v>1</v>
      </c>
      <c r="AN111" s="17">
        <v>1</v>
      </c>
      <c r="AO111" s="17">
        <v>1</v>
      </c>
      <c r="AP111" s="17">
        <v>1</v>
      </c>
      <c r="AQ111" s="17">
        <v>1</v>
      </c>
      <c r="AR111" s="17">
        <v>1</v>
      </c>
      <c r="AS111" s="17">
        <v>1</v>
      </c>
      <c r="AT111" s="17">
        <v>1</v>
      </c>
      <c r="AU111" s="17">
        <v>1</v>
      </c>
      <c r="AV111" s="17">
        <v>1</v>
      </c>
      <c r="AW111" s="17">
        <v>1</v>
      </c>
      <c r="AX111" s="17">
        <v>1</v>
      </c>
      <c r="AY111" s="17">
        <v>1</v>
      </c>
      <c r="AZ111" s="17">
        <v>1</v>
      </c>
      <c r="BA111" s="17">
        <v>1</v>
      </c>
      <c r="BB111" s="17">
        <v>1</v>
      </c>
      <c r="BC111" s="17">
        <v>1</v>
      </c>
      <c r="BD111" s="17">
        <v>1</v>
      </c>
      <c r="BE111" s="17">
        <v>1</v>
      </c>
      <c r="BF111" s="17">
        <v>1</v>
      </c>
      <c r="BG111" s="17">
        <v>1</v>
      </c>
      <c r="BH111" s="17">
        <v>1</v>
      </c>
      <c r="BI111" s="17">
        <v>1</v>
      </c>
      <c r="BJ111" s="17">
        <v>1</v>
      </c>
      <c r="BK111" s="17">
        <v>1</v>
      </c>
      <c r="BL111" s="17">
        <v>1</v>
      </c>
      <c r="BM111" s="17">
        <v>1</v>
      </c>
      <c r="BN111" s="17">
        <v>1</v>
      </c>
      <c r="BO111" s="17">
        <v>1</v>
      </c>
      <c r="BP111" s="17">
        <v>1</v>
      </c>
    </row>
    <row r="112" spans="6:68" ht="15" x14ac:dyDescent="0.25">
      <c r="F112" s="22" t="s">
        <v>317</v>
      </c>
      <c r="G112" s="18" t="s">
        <v>102</v>
      </c>
      <c r="H112" s="28">
        <f>IFERROR(INDEX(tblStaff[Salary],MATCH(Assumptions!G112,tblStaff[Staff],0)),0)</f>
        <v>60000</v>
      </c>
      <c r="I112" s="17"/>
      <c r="J112" s="17"/>
      <c r="K112" s="17"/>
      <c r="L112" s="17"/>
      <c r="M112" s="17"/>
      <c r="N112" s="17"/>
      <c r="O112" s="17"/>
      <c r="P112" s="17"/>
      <c r="Q112" s="17"/>
      <c r="R112" s="17"/>
      <c r="S112" s="17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>
        <v>1</v>
      </c>
      <c r="AG112" s="17">
        <v>1</v>
      </c>
      <c r="AH112" s="17">
        <v>1</v>
      </c>
      <c r="AI112" s="17">
        <v>1</v>
      </c>
      <c r="AJ112" s="17">
        <v>1</v>
      </c>
      <c r="AK112" s="17">
        <v>1</v>
      </c>
      <c r="AL112" s="17">
        <v>1</v>
      </c>
      <c r="AM112" s="17">
        <v>1</v>
      </c>
      <c r="AN112" s="17">
        <v>1</v>
      </c>
      <c r="AO112" s="17">
        <v>1</v>
      </c>
      <c r="AP112" s="17">
        <v>1</v>
      </c>
      <c r="AQ112" s="17">
        <v>1</v>
      </c>
      <c r="AR112" s="17">
        <v>1</v>
      </c>
      <c r="AS112" s="17">
        <v>2</v>
      </c>
      <c r="AT112" s="17">
        <v>2</v>
      </c>
      <c r="AU112" s="17">
        <v>2</v>
      </c>
      <c r="AV112" s="17">
        <v>2</v>
      </c>
      <c r="AW112" s="17">
        <v>2</v>
      </c>
      <c r="AX112" s="17">
        <v>2</v>
      </c>
      <c r="AY112" s="17">
        <v>2</v>
      </c>
      <c r="AZ112" s="17">
        <v>2</v>
      </c>
      <c r="BA112" s="17">
        <v>2</v>
      </c>
      <c r="BB112" s="17">
        <v>2</v>
      </c>
      <c r="BC112" s="17">
        <v>2</v>
      </c>
      <c r="BD112" s="17">
        <v>2</v>
      </c>
      <c r="BE112" s="17">
        <v>3</v>
      </c>
      <c r="BF112" s="17">
        <v>3</v>
      </c>
      <c r="BG112" s="17">
        <v>3</v>
      </c>
      <c r="BH112" s="17">
        <v>3</v>
      </c>
      <c r="BI112" s="17">
        <v>3</v>
      </c>
      <c r="BJ112" s="17">
        <v>3</v>
      </c>
      <c r="BK112" s="17">
        <v>3</v>
      </c>
      <c r="BL112" s="17">
        <v>3</v>
      </c>
      <c r="BM112" s="17">
        <v>3</v>
      </c>
      <c r="BN112" s="17">
        <v>3</v>
      </c>
      <c r="BO112" s="17">
        <v>3</v>
      </c>
      <c r="BP112" s="17">
        <v>3</v>
      </c>
    </row>
    <row r="113" spans="5:68" ht="15" x14ac:dyDescent="0.25">
      <c r="F113" s="22" t="s">
        <v>317</v>
      </c>
      <c r="G113" s="18" t="s">
        <v>103</v>
      </c>
      <c r="H113" s="28">
        <f>IFERROR(INDEX(tblStaff[Salary],MATCH(Assumptions!G113,tblStaff[Staff],0)),0)</f>
        <v>60000</v>
      </c>
      <c r="I113" s="17"/>
      <c r="J113" s="17"/>
      <c r="K113" s="17"/>
      <c r="L113" s="17"/>
      <c r="M113" s="17"/>
      <c r="N113" s="17"/>
      <c r="O113" s="17"/>
      <c r="P113" s="17"/>
      <c r="Q113" s="17"/>
      <c r="R113" s="17"/>
      <c r="S113" s="17"/>
      <c r="T113" s="17"/>
      <c r="U113" s="17">
        <v>0.5</v>
      </c>
      <c r="V113" s="17">
        <v>0.5</v>
      </c>
      <c r="W113" s="17">
        <v>0.5</v>
      </c>
      <c r="X113" s="17">
        <v>0.5</v>
      </c>
      <c r="Y113" s="17">
        <v>0.5</v>
      </c>
      <c r="Z113" s="17">
        <v>0.5</v>
      </c>
      <c r="AA113" s="17">
        <v>0.5</v>
      </c>
      <c r="AB113" s="17">
        <v>0.5</v>
      </c>
      <c r="AC113" s="17">
        <v>0.5</v>
      </c>
      <c r="AD113" s="17">
        <v>0.5</v>
      </c>
      <c r="AE113" s="17">
        <v>0.5</v>
      </c>
      <c r="AF113" s="17">
        <v>0.5</v>
      </c>
      <c r="AG113" s="17">
        <v>1</v>
      </c>
      <c r="AH113" s="17">
        <v>1</v>
      </c>
      <c r="AI113" s="17">
        <v>1</v>
      </c>
      <c r="AJ113" s="17">
        <v>1</v>
      </c>
      <c r="AK113" s="17">
        <v>1</v>
      </c>
      <c r="AL113" s="17">
        <v>1</v>
      </c>
      <c r="AM113" s="17">
        <v>2</v>
      </c>
      <c r="AN113" s="17">
        <v>2</v>
      </c>
      <c r="AO113" s="17">
        <f>ROUNDUP(SUM(AO103:AO112)/10,0)</f>
        <v>2</v>
      </c>
      <c r="AP113" s="17">
        <f t="shared" ref="AP113:BP113" si="20">ROUNDUP(SUM(AP103:AP112)/10,0)</f>
        <v>2</v>
      </c>
      <c r="AQ113" s="17">
        <f t="shared" si="20"/>
        <v>2</v>
      </c>
      <c r="AR113" s="17">
        <f t="shared" si="20"/>
        <v>2</v>
      </c>
      <c r="AS113" s="17">
        <f t="shared" si="20"/>
        <v>3</v>
      </c>
      <c r="AT113" s="17">
        <f t="shared" si="20"/>
        <v>3</v>
      </c>
      <c r="AU113" s="17">
        <f t="shared" si="20"/>
        <v>3</v>
      </c>
      <c r="AV113" s="17">
        <f t="shared" si="20"/>
        <v>3</v>
      </c>
      <c r="AW113" s="17">
        <f t="shared" si="20"/>
        <v>3</v>
      </c>
      <c r="AX113" s="17">
        <f t="shared" si="20"/>
        <v>3</v>
      </c>
      <c r="AY113" s="17">
        <f t="shared" si="20"/>
        <v>4</v>
      </c>
      <c r="AZ113" s="17">
        <f t="shared" si="20"/>
        <v>4</v>
      </c>
      <c r="BA113" s="17">
        <f t="shared" si="20"/>
        <v>4</v>
      </c>
      <c r="BB113" s="17">
        <f t="shared" si="20"/>
        <v>4</v>
      </c>
      <c r="BC113" s="17">
        <f t="shared" si="20"/>
        <v>4</v>
      </c>
      <c r="BD113" s="17">
        <f t="shared" si="20"/>
        <v>4</v>
      </c>
      <c r="BE113" s="17">
        <f t="shared" si="20"/>
        <v>4</v>
      </c>
      <c r="BF113" s="17">
        <f t="shared" si="20"/>
        <v>4</v>
      </c>
      <c r="BG113" s="17">
        <f t="shared" si="20"/>
        <v>4</v>
      </c>
      <c r="BH113" s="17">
        <f t="shared" si="20"/>
        <v>5</v>
      </c>
      <c r="BI113" s="17">
        <f t="shared" si="20"/>
        <v>5</v>
      </c>
      <c r="BJ113" s="17">
        <f t="shared" si="20"/>
        <v>5</v>
      </c>
      <c r="BK113" s="17">
        <f t="shared" si="20"/>
        <v>5</v>
      </c>
      <c r="BL113" s="17">
        <f t="shared" si="20"/>
        <v>5</v>
      </c>
      <c r="BM113" s="17">
        <f t="shared" si="20"/>
        <v>5</v>
      </c>
      <c r="BN113" s="17">
        <f t="shared" si="20"/>
        <v>5</v>
      </c>
      <c r="BO113" s="17">
        <f t="shared" si="20"/>
        <v>5</v>
      </c>
      <c r="BP113" s="17">
        <f t="shared" si="20"/>
        <v>5</v>
      </c>
    </row>
    <row r="114" spans="5:68" ht="15" x14ac:dyDescent="0.25">
      <c r="F114" s="22"/>
      <c r="G114" s="18"/>
      <c r="H114" s="28">
        <f>IFERROR(INDEX(tblStaff[Salary],MATCH(Assumptions!G114,tblStaff[Staff],0)),0)</f>
        <v>0</v>
      </c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  <c r="AA114" s="21"/>
      <c r="AB114" s="21"/>
      <c r="AC114" s="21"/>
      <c r="AD114" s="21"/>
      <c r="AE114" s="21"/>
      <c r="AF114" s="21"/>
      <c r="AG114" s="21"/>
      <c r="AH114" s="21"/>
      <c r="AI114" s="21"/>
      <c r="AJ114" s="21"/>
      <c r="AK114" s="21"/>
      <c r="AL114" s="21"/>
      <c r="AM114" s="21"/>
      <c r="AN114" s="21"/>
      <c r="AO114" s="21"/>
      <c r="AP114" s="21"/>
      <c r="AQ114" s="21"/>
      <c r="AR114" s="21"/>
      <c r="AS114" s="21"/>
      <c r="AT114" s="21"/>
      <c r="AU114" s="21"/>
      <c r="AV114" s="21"/>
      <c r="AW114" s="21"/>
      <c r="AX114" s="21"/>
      <c r="AY114" s="21"/>
      <c r="AZ114" s="21"/>
      <c r="BA114" s="21"/>
      <c r="BB114" s="21"/>
      <c r="BC114" s="21"/>
      <c r="BD114" s="21"/>
      <c r="BE114" s="21"/>
      <c r="BF114" s="21"/>
      <c r="BG114" s="21"/>
      <c r="BH114" s="21"/>
      <c r="BI114" s="21"/>
      <c r="BJ114" s="21"/>
      <c r="BK114" s="21"/>
      <c r="BL114" s="21"/>
      <c r="BM114" s="21"/>
      <c r="BN114" s="21"/>
      <c r="BO114" s="21"/>
      <c r="BP114" s="21"/>
    </row>
    <row r="115" spans="5:68" ht="15" x14ac:dyDescent="0.25">
      <c r="F115" s="22"/>
      <c r="G115" s="18"/>
      <c r="H115" s="28">
        <f>IFERROR(INDEX(tblStaff[Salary],MATCH(Assumptions!G115,tblStaff[Staff],0)),0)</f>
        <v>0</v>
      </c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  <c r="AE115" s="21"/>
      <c r="AF115" s="21"/>
      <c r="AG115" s="21"/>
      <c r="AH115" s="21"/>
      <c r="AI115" s="21"/>
      <c r="AJ115" s="21"/>
      <c r="AK115" s="21"/>
      <c r="AL115" s="21"/>
      <c r="AM115" s="21"/>
      <c r="AN115" s="21"/>
      <c r="AO115" s="21"/>
      <c r="AP115" s="21"/>
      <c r="AQ115" s="21"/>
      <c r="AR115" s="21"/>
      <c r="AS115" s="21"/>
      <c r="AT115" s="21"/>
      <c r="AU115" s="21"/>
      <c r="AV115" s="21"/>
      <c r="AW115" s="21"/>
      <c r="AX115" s="21"/>
      <c r="AY115" s="21"/>
      <c r="AZ115" s="21"/>
      <c r="BA115" s="21"/>
      <c r="BB115" s="21"/>
      <c r="BC115" s="21"/>
      <c r="BD115" s="21"/>
      <c r="BE115" s="21"/>
      <c r="BF115" s="21"/>
      <c r="BG115" s="21"/>
      <c r="BH115" s="21"/>
      <c r="BI115" s="21"/>
      <c r="BJ115" s="21"/>
      <c r="BK115" s="21"/>
      <c r="BL115" s="21"/>
      <c r="BM115" s="21"/>
      <c r="BN115" s="21"/>
      <c r="BO115" s="21"/>
      <c r="BP115" s="21"/>
    </row>
    <row r="116" spans="5:68" ht="15" x14ac:dyDescent="0.25">
      <c r="F116" s="22"/>
      <c r="G116" s="18"/>
      <c r="H116" s="28">
        <f>IFERROR(INDEX(tblStaff[Salary],MATCH(Assumptions!G116,tblStaff[Staff],0)),0)</f>
        <v>0</v>
      </c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  <c r="AA116" s="21"/>
      <c r="AB116" s="21"/>
      <c r="AC116" s="21"/>
      <c r="AD116" s="21"/>
      <c r="AE116" s="21"/>
      <c r="AF116" s="21"/>
      <c r="AG116" s="21"/>
      <c r="AH116" s="21"/>
      <c r="AI116" s="21"/>
      <c r="AJ116" s="21"/>
      <c r="AK116" s="21"/>
      <c r="AL116" s="21"/>
      <c r="AM116" s="21"/>
      <c r="AN116" s="21"/>
      <c r="AO116" s="21"/>
      <c r="AP116" s="21"/>
      <c r="AQ116" s="21"/>
      <c r="AR116" s="21"/>
      <c r="AS116" s="21"/>
      <c r="AT116" s="21"/>
      <c r="AU116" s="21"/>
      <c r="AV116" s="21"/>
      <c r="AW116" s="21"/>
      <c r="AX116" s="21"/>
      <c r="AY116" s="21"/>
      <c r="AZ116" s="21"/>
      <c r="BA116" s="21"/>
      <c r="BB116" s="21"/>
      <c r="BC116" s="21"/>
      <c r="BD116" s="21"/>
      <c r="BE116" s="21"/>
      <c r="BF116" s="21"/>
      <c r="BG116" s="21"/>
      <c r="BH116" s="21"/>
      <c r="BI116" s="21"/>
      <c r="BJ116" s="21"/>
      <c r="BK116" s="21"/>
      <c r="BL116" s="21"/>
      <c r="BM116" s="21"/>
      <c r="BN116" s="21"/>
      <c r="BO116" s="21"/>
      <c r="BP116" s="21"/>
    </row>
    <row r="117" spans="5:68" ht="15" x14ac:dyDescent="0.25">
      <c r="F117" s="22"/>
      <c r="G117" s="18"/>
      <c r="H117" s="28">
        <f>IFERROR(INDEX(tblStaff[Salary],MATCH(Assumptions!G117,tblStaff[Staff],0)),0)</f>
        <v>0</v>
      </c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  <c r="AE117" s="21"/>
      <c r="AF117" s="21"/>
      <c r="AG117" s="21"/>
      <c r="AH117" s="21"/>
      <c r="AI117" s="21"/>
      <c r="AJ117" s="21"/>
      <c r="AK117" s="21"/>
      <c r="AL117" s="21"/>
      <c r="AM117" s="21"/>
      <c r="AN117" s="21"/>
      <c r="AO117" s="21"/>
      <c r="AP117" s="21"/>
      <c r="AQ117" s="21"/>
      <c r="AR117" s="21"/>
      <c r="AS117" s="21"/>
      <c r="AT117" s="21"/>
      <c r="AU117" s="21"/>
      <c r="AV117" s="21"/>
      <c r="AW117" s="21"/>
      <c r="AX117" s="21"/>
      <c r="AY117" s="21"/>
      <c r="AZ117" s="21"/>
      <c r="BA117" s="21"/>
      <c r="BB117" s="21"/>
      <c r="BC117" s="21"/>
      <c r="BD117" s="21"/>
      <c r="BE117" s="21"/>
      <c r="BF117" s="21"/>
      <c r="BG117" s="21"/>
      <c r="BH117" s="21"/>
      <c r="BI117" s="21"/>
      <c r="BJ117" s="21"/>
      <c r="BK117" s="21"/>
      <c r="BL117" s="21"/>
      <c r="BM117" s="21"/>
      <c r="BN117" s="21"/>
      <c r="BO117" s="21"/>
      <c r="BP117" s="21"/>
    </row>
    <row r="118" spans="5:68" ht="15" x14ac:dyDescent="0.25">
      <c r="F118" s="22"/>
      <c r="G118" s="18"/>
      <c r="H118" s="28">
        <f>IFERROR(INDEX(tblStaff[Salary],MATCH(Assumptions!G118,tblStaff[Staff],0)),0)</f>
        <v>0</v>
      </c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1"/>
      <c r="Z118" s="21"/>
      <c r="AA118" s="21"/>
      <c r="AB118" s="21"/>
      <c r="AC118" s="21"/>
      <c r="AD118" s="21"/>
      <c r="AE118" s="21"/>
      <c r="AF118" s="21"/>
      <c r="AG118" s="21"/>
      <c r="AH118" s="21"/>
      <c r="AI118" s="21"/>
      <c r="AJ118" s="21"/>
      <c r="AK118" s="21"/>
      <c r="AL118" s="21"/>
      <c r="AM118" s="21"/>
      <c r="AN118" s="21"/>
      <c r="AO118" s="21"/>
      <c r="AP118" s="21"/>
      <c r="AQ118" s="21"/>
      <c r="AR118" s="21"/>
      <c r="AS118" s="21"/>
      <c r="AT118" s="21"/>
      <c r="AU118" s="21"/>
      <c r="AV118" s="21"/>
      <c r="AW118" s="21"/>
      <c r="AX118" s="21"/>
      <c r="AY118" s="21"/>
      <c r="AZ118" s="21"/>
      <c r="BA118" s="21"/>
      <c r="BB118" s="21"/>
      <c r="BC118" s="21"/>
      <c r="BD118" s="21"/>
      <c r="BE118" s="21"/>
      <c r="BF118" s="21"/>
      <c r="BG118" s="21"/>
      <c r="BH118" s="21"/>
      <c r="BI118" s="21"/>
      <c r="BJ118" s="21"/>
      <c r="BK118" s="21"/>
      <c r="BL118" s="21"/>
      <c r="BM118" s="21"/>
      <c r="BN118" s="21"/>
      <c r="BO118" s="21"/>
      <c r="BP118" s="21"/>
    </row>
    <row r="119" spans="5:68" x14ac:dyDescent="0.2">
      <c r="E119" s="5"/>
      <c r="G119" s="6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  <c r="AK119" s="7"/>
      <c r="AL119" s="7"/>
      <c r="AM119" s="7"/>
      <c r="AN119" s="7"/>
      <c r="AO119" s="7"/>
      <c r="AP119" s="7"/>
      <c r="AQ119" s="7"/>
      <c r="AR119" s="7"/>
      <c r="AS119" s="7"/>
      <c r="AT119" s="7"/>
      <c r="AU119" s="7"/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  <c r="BJ119" s="7"/>
      <c r="BK119" s="7"/>
      <c r="BL119" s="7"/>
      <c r="BM119" s="7"/>
      <c r="BN119" s="7"/>
      <c r="BO119" s="7"/>
    </row>
    <row r="120" spans="5:68" x14ac:dyDescent="0.2">
      <c r="E120" s="5"/>
      <c r="G120" s="6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  <c r="AG120" s="7"/>
      <c r="AH120" s="7"/>
      <c r="AI120" s="7"/>
      <c r="AJ120" s="7"/>
      <c r="AK120" s="7"/>
      <c r="AL120" s="7"/>
      <c r="AM120" s="7"/>
      <c r="AN120" s="7"/>
      <c r="AO120" s="7"/>
      <c r="AP120" s="7"/>
      <c r="AQ120" s="7"/>
      <c r="AR120" s="7"/>
      <c r="AS120" s="7"/>
      <c r="AT120" s="7"/>
      <c r="AU120" s="7"/>
      <c r="AV120" s="7"/>
      <c r="AW120" s="7"/>
      <c r="AX120" s="7"/>
      <c r="AY120" s="7"/>
      <c r="AZ120" s="7"/>
      <c r="BA120" s="7"/>
      <c r="BB120" s="7"/>
      <c r="BC120" s="7"/>
      <c r="BD120" s="7"/>
      <c r="BE120" s="7"/>
      <c r="BF120" s="7"/>
      <c r="BG120" s="7"/>
      <c r="BH120" s="7"/>
      <c r="BI120" s="7"/>
      <c r="BJ120" s="7"/>
      <c r="BK120" s="7"/>
      <c r="BL120" s="7"/>
      <c r="BM120" s="7"/>
      <c r="BN120" s="7"/>
      <c r="BO120" s="7"/>
    </row>
    <row r="121" spans="5:68" x14ac:dyDescent="0.2">
      <c r="E121" s="5"/>
      <c r="G121" s="6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7"/>
      <c r="AG121" s="7"/>
      <c r="AH121" s="7"/>
      <c r="AI121" s="7"/>
      <c r="AJ121" s="7"/>
      <c r="AK121" s="7"/>
      <c r="AL121" s="7"/>
      <c r="AM121" s="7"/>
      <c r="AN121" s="7"/>
      <c r="AO121" s="7"/>
      <c r="AP121" s="7"/>
      <c r="AQ121" s="7"/>
      <c r="AR121" s="7"/>
      <c r="AS121" s="7"/>
      <c r="AT121" s="7"/>
      <c r="AU121" s="7"/>
      <c r="AV121" s="7"/>
      <c r="AW121" s="7"/>
      <c r="AX121" s="7"/>
      <c r="AY121" s="7"/>
      <c r="AZ121" s="7"/>
      <c r="BA121" s="7"/>
      <c r="BB121" s="7"/>
      <c r="BC121" s="7"/>
      <c r="BD121" s="7"/>
      <c r="BE121" s="7"/>
      <c r="BF121" s="7"/>
      <c r="BG121" s="7"/>
      <c r="BH121" s="7"/>
      <c r="BI121" s="7"/>
      <c r="BJ121" s="7"/>
      <c r="BK121" s="7"/>
      <c r="BL121" s="7"/>
      <c r="BM121" s="7"/>
      <c r="BN121" s="7"/>
      <c r="BO121" s="7"/>
    </row>
    <row r="122" spans="5:68" x14ac:dyDescent="0.2">
      <c r="E122" s="5"/>
      <c r="G122" s="6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  <c r="AG122" s="7"/>
      <c r="AH122" s="7"/>
      <c r="AI122" s="7"/>
      <c r="AJ122" s="7"/>
      <c r="AK122" s="7"/>
      <c r="AL122" s="7"/>
      <c r="AM122" s="7"/>
      <c r="AN122" s="7"/>
      <c r="AO122" s="7"/>
      <c r="AP122" s="7"/>
      <c r="AQ122" s="7"/>
      <c r="AR122" s="7"/>
      <c r="AS122" s="7"/>
      <c r="AT122" s="7"/>
      <c r="AU122" s="7"/>
      <c r="AV122" s="7"/>
      <c r="AW122" s="7"/>
      <c r="AX122" s="7"/>
      <c r="AY122" s="7"/>
      <c r="AZ122" s="7"/>
      <c r="BA122" s="7"/>
      <c r="BB122" s="7"/>
      <c r="BC122" s="7"/>
      <c r="BD122" s="7"/>
      <c r="BE122" s="7"/>
      <c r="BF122" s="7"/>
      <c r="BG122" s="7"/>
      <c r="BH122" s="7"/>
      <c r="BI122" s="7"/>
      <c r="BJ122" s="7"/>
      <c r="BK122" s="7"/>
      <c r="BL122" s="7"/>
      <c r="BM122" s="7"/>
      <c r="BN122" s="7"/>
      <c r="BO122" s="7"/>
    </row>
    <row r="123" spans="5:68" x14ac:dyDescent="0.2">
      <c r="E123" s="5"/>
      <c r="G123" s="6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  <c r="AI123" s="7"/>
      <c r="AJ123" s="7"/>
      <c r="AK123" s="7"/>
      <c r="AL123" s="7"/>
      <c r="AM123" s="7"/>
      <c r="AN123" s="7"/>
      <c r="AO123" s="7"/>
      <c r="AP123" s="7"/>
      <c r="AQ123" s="7"/>
      <c r="AR123" s="7"/>
      <c r="AS123" s="7"/>
      <c r="AT123" s="7"/>
      <c r="AU123" s="7"/>
      <c r="AV123" s="7"/>
      <c r="AW123" s="7"/>
      <c r="AX123" s="7"/>
      <c r="AY123" s="7"/>
      <c r="AZ123" s="7"/>
      <c r="BA123" s="7"/>
      <c r="BB123" s="7"/>
      <c r="BC123" s="7"/>
      <c r="BD123" s="7"/>
      <c r="BE123" s="7"/>
      <c r="BF123" s="7"/>
      <c r="BG123" s="7"/>
      <c r="BH123" s="7"/>
      <c r="BI123" s="7"/>
      <c r="BJ123" s="7"/>
      <c r="BK123" s="7"/>
      <c r="BL123" s="7"/>
      <c r="BM123" s="7"/>
      <c r="BN123" s="7"/>
      <c r="BO123" s="7"/>
    </row>
  </sheetData>
  <phoneticPr fontId="2" type="noConversion"/>
  <conditionalFormatting sqref="A4">
    <cfRule type="cellIs" dxfId="3" priority="1" operator="equal">
      <formula>FALSE</formula>
    </cfRule>
    <cfRule type="cellIs" dxfId="2" priority="2" operator="equal">
      <formula>TRUE</formula>
    </cfRule>
  </conditionalFormatting>
  <dataValidations count="3">
    <dataValidation type="list" allowBlank="1" showInputMessage="1" showErrorMessage="1" sqref="F39:F53 H11" xr:uid="{00000000-0002-0000-0600-000000000000}">
      <formula1>refCaseNames</formula1>
    </dataValidation>
    <dataValidation type="list" allowBlank="1" showInputMessage="1" showErrorMessage="1" sqref="F66:F113 H12" xr:uid="{00000000-0002-0000-0600-000001000000}">
      <formula1>refStaffScenario</formula1>
    </dataValidation>
    <dataValidation type="list" allowBlank="1" showInputMessage="1" showErrorMessage="1" sqref="G66:G118" xr:uid="{00000000-0002-0000-0600-000002000000}">
      <formula1>refStaffPositions</formula1>
    </dataValidation>
  </dataValidations>
  <hyperlinks>
    <hyperlink ref="A3" location="Start" display="ToC" xr:uid="{00000000-0004-0000-0600-000000000000}"/>
  </hyperlinks>
  <pageMargins left="0.45" right="0.38" top="0.77" bottom="1" header="0.5" footer="0.5"/>
  <pageSetup paperSize="9" scale="85" orientation="portrait" r:id="rId1"/>
  <headerFooter alignWithMargins="0">
    <oddFooter>&amp;L&amp;8&amp;Z&amp;F</oddFooter>
  </headerFooter>
  <customProperties>
    <customPr name="layoutContexts" r:id="rId2"/>
    <customPr name="SaveUndoMode" r:id="rId3"/>
  </customProperties>
  <tableParts count="3">
    <tablePart r:id="rId4"/>
    <tablePart r:id="rId5"/>
    <tablePart r:id="rId6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5">
    <tabColor theme="4"/>
  </sheetPr>
  <dimension ref="A1:BL38"/>
  <sheetViews>
    <sheetView showGridLines="0" workbookViewId="0">
      <selection activeCell="B20" sqref="B20"/>
    </sheetView>
  </sheetViews>
  <sheetFormatPr defaultColWidth="9.28515625" defaultRowHeight="12.75" x14ac:dyDescent="0.2"/>
  <cols>
    <col min="1" max="1" width="4.28515625" style="1" bestFit="1" customWidth="1"/>
    <col min="2" max="2" width="18.7109375" style="1" customWidth="1"/>
    <col min="3" max="3" width="24.7109375" style="1" bestFit="1" customWidth="1"/>
    <col min="4" max="16384" width="9.28515625" style="1"/>
  </cols>
  <sheetData>
    <row r="1" spans="1:64" ht="44.25" customHeight="1" thickBot="1" x14ac:dyDescent="0.35">
      <c r="A1" s="70"/>
      <c r="B1" s="70" t="str">
        <f ca="1">AssmModelHeader</f>
        <v>Growth Startup (High)</v>
      </c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  <c r="X1" s="70"/>
      <c r="Y1" s="70"/>
      <c r="Z1" s="70"/>
      <c r="AA1" s="70"/>
      <c r="AB1" s="70"/>
      <c r="AC1" s="70"/>
      <c r="AD1" s="70"/>
      <c r="AE1" s="70"/>
      <c r="AF1" s="70"/>
      <c r="AG1" s="70"/>
      <c r="AH1" s="70"/>
      <c r="AI1" s="70"/>
      <c r="AJ1" s="70"/>
      <c r="AK1" s="70"/>
      <c r="AL1" s="70"/>
      <c r="AM1" s="70"/>
      <c r="AN1" s="70"/>
      <c r="AO1" s="70"/>
      <c r="AP1" s="70"/>
      <c r="AQ1" s="70"/>
      <c r="AR1" s="70"/>
      <c r="AS1" s="70"/>
      <c r="AT1" s="70"/>
      <c r="AU1" s="70"/>
      <c r="AV1" s="70"/>
      <c r="AW1" s="70"/>
      <c r="AX1" s="70"/>
      <c r="AY1" s="70"/>
      <c r="AZ1" s="70"/>
      <c r="BA1" s="70"/>
      <c r="BB1" s="70"/>
      <c r="BC1" s="70"/>
      <c r="BD1" s="70"/>
      <c r="BE1" s="70"/>
      <c r="BF1" s="70"/>
      <c r="BG1" s="70"/>
      <c r="BH1" s="70"/>
      <c r="BI1" s="70"/>
      <c r="BJ1" s="70"/>
      <c r="BK1" s="70"/>
      <c r="BL1" s="70"/>
    </row>
    <row r="2" spans="1:64" ht="18.75" thickTop="1" thickBot="1" x14ac:dyDescent="0.35">
      <c r="A2" s="69"/>
      <c r="B2" s="69" t="s">
        <v>318</v>
      </c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69"/>
      <c r="W2" s="69"/>
      <c r="X2" s="69"/>
      <c r="Y2" s="69"/>
      <c r="Z2" s="69"/>
      <c r="AA2" s="69"/>
      <c r="AB2" s="69"/>
      <c r="AC2" s="69"/>
      <c r="AD2" s="69"/>
      <c r="AE2" s="69"/>
      <c r="AF2" s="69"/>
      <c r="AG2" s="69"/>
      <c r="AH2" s="69"/>
      <c r="AI2" s="69"/>
      <c r="AJ2" s="69"/>
      <c r="AK2" s="69"/>
      <c r="AL2" s="69"/>
      <c r="AM2" s="69"/>
      <c r="AN2" s="69"/>
      <c r="AO2" s="69"/>
      <c r="AP2" s="69"/>
      <c r="AQ2" s="69"/>
      <c r="AR2" s="69"/>
      <c r="AS2" s="69"/>
      <c r="AT2" s="69"/>
      <c r="AU2" s="69"/>
      <c r="AV2" s="69"/>
      <c r="AW2" s="69"/>
      <c r="AX2" s="69"/>
      <c r="AY2" s="69"/>
      <c r="AZ2" s="69"/>
      <c r="BA2" s="69"/>
      <c r="BB2" s="69"/>
      <c r="BC2" s="69"/>
      <c r="BD2" s="69"/>
      <c r="BE2" s="69"/>
      <c r="BF2" s="69"/>
      <c r="BG2" s="69"/>
      <c r="BH2" s="69"/>
      <c r="BI2" s="69"/>
      <c r="BJ2" s="69"/>
      <c r="BK2" s="69"/>
      <c r="BL2" s="69"/>
    </row>
    <row r="3" spans="1:64" ht="13.5" thickTop="1" x14ac:dyDescent="0.2">
      <c r="A3" s="93" t="s">
        <v>12</v>
      </c>
    </row>
    <row r="4" spans="1:64" x14ac:dyDescent="0.2">
      <c r="A4" s="80" t="b">
        <f ca="1">ErrChkOverall</f>
        <v>1</v>
      </c>
    </row>
    <row r="6" spans="1:64" x14ac:dyDescent="0.2">
      <c r="B6" s="15" t="s">
        <v>319</v>
      </c>
    </row>
    <row r="7" spans="1:64" ht="13.5" thickBot="1" x14ac:dyDescent="0.25">
      <c r="B7" s="11" t="s">
        <v>298</v>
      </c>
      <c r="C7" s="11" t="s">
        <v>320</v>
      </c>
    </row>
    <row r="8" spans="1:64" ht="15.75" thickTop="1" x14ac:dyDescent="0.25">
      <c r="B8" s="12" t="s">
        <v>306</v>
      </c>
      <c r="C8" s="18">
        <v>30</v>
      </c>
    </row>
    <row r="9" spans="1:64" ht="15" x14ac:dyDescent="0.25">
      <c r="B9" s="13" t="s">
        <v>307</v>
      </c>
      <c r="C9" s="18">
        <v>50</v>
      </c>
    </row>
    <row r="10" spans="1:64" ht="15" x14ac:dyDescent="0.25">
      <c r="B10" s="14" t="s">
        <v>247</v>
      </c>
      <c r="C10" s="18">
        <v>100</v>
      </c>
    </row>
    <row r="12" spans="1:64" x14ac:dyDescent="0.2">
      <c r="B12" s="15" t="s">
        <v>321</v>
      </c>
    </row>
    <row r="13" spans="1:64" x14ac:dyDescent="0.2">
      <c r="B13" s="4" t="s">
        <v>299</v>
      </c>
      <c r="C13" s="4" t="s">
        <v>300</v>
      </c>
    </row>
    <row r="14" spans="1:64" x14ac:dyDescent="0.2">
      <c r="B14" s="9" t="s">
        <v>68</v>
      </c>
      <c r="C14" s="1" t="s">
        <v>322</v>
      </c>
    </row>
    <row r="15" spans="1:64" x14ac:dyDescent="0.2">
      <c r="B15" s="10" t="s">
        <v>70</v>
      </c>
      <c r="C15" s="1" t="s">
        <v>323</v>
      </c>
    </row>
    <row r="16" spans="1:64" x14ac:dyDescent="0.2">
      <c r="B16" s="1" t="s">
        <v>77</v>
      </c>
      <c r="C16" s="1" t="s">
        <v>324</v>
      </c>
    </row>
    <row r="17" spans="2:3" x14ac:dyDescent="0.2">
      <c r="B17" s="1" t="s">
        <v>92</v>
      </c>
      <c r="C17" s="1" t="s">
        <v>325</v>
      </c>
    </row>
    <row r="18" spans="2:3" x14ac:dyDescent="0.2">
      <c r="B18" s="1" t="s">
        <v>105</v>
      </c>
      <c r="C18" s="1" t="s">
        <v>326</v>
      </c>
    </row>
    <row r="20" spans="2:3" x14ac:dyDescent="0.2">
      <c r="B20" s="15" t="s">
        <v>327</v>
      </c>
    </row>
    <row r="21" spans="2:3" x14ac:dyDescent="0.2">
      <c r="B21" s="4" t="s">
        <v>249</v>
      </c>
    </row>
    <row r="22" spans="2:3" x14ac:dyDescent="0.2">
      <c r="B22" s="1" t="s">
        <v>317</v>
      </c>
    </row>
    <row r="23" spans="2:3" x14ac:dyDescent="0.2">
      <c r="B23" s="1" t="s">
        <v>316</v>
      </c>
    </row>
    <row r="24" spans="2:3" x14ac:dyDescent="0.2">
      <c r="B24" s="1" t="s">
        <v>307</v>
      </c>
    </row>
    <row r="25" spans="2:3" x14ac:dyDescent="0.2">
      <c r="B25" s="1" t="s">
        <v>251</v>
      </c>
    </row>
    <row r="27" spans="2:3" x14ac:dyDescent="0.2">
      <c r="B27" s="15" t="s">
        <v>328</v>
      </c>
    </row>
    <row r="28" spans="2:3" x14ac:dyDescent="0.2">
      <c r="B28" s="4" t="s">
        <v>79</v>
      </c>
      <c r="C28" s="4" t="s">
        <v>314</v>
      </c>
    </row>
    <row r="29" spans="2:3" x14ac:dyDescent="0.2">
      <c r="B29" s="1" t="s">
        <v>82</v>
      </c>
      <c r="C29" s="7">
        <v>120000</v>
      </c>
    </row>
    <row r="30" spans="2:3" x14ac:dyDescent="0.2">
      <c r="B30" s="1" t="s">
        <v>83</v>
      </c>
      <c r="C30" s="7">
        <v>100000</v>
      </c>
    </row>
    <row r="31" spans="2:3" x14ac:dyDescent="0.2">
      <c r="B31" s="1" t="s">
        <v>84</v>
      </c>
      <c r="C31" s="7">
        <v>90000</v>
      </c>
    </row>
    <row r="32" spans="2:3" x14ac:dyDescent="0.2">
      <c r="B32" s="1" t="s">
        <v>85</v>
      </c>
      <c r="C32" s="7">
        <v>80000</v>
      </c>
    </row>
    <row r="33" spans="2:3" x14ac:dyDescent="0.2">
      <c r="B33" s="1" t="s">
        <v>86</v>
      </c>
      <c r="C33" s="7">
        <v>120000</v>
      </c>
    </row>
    <row r="34" spans="2:3" x14ac:dyDescent="0.2">
      <c r="B34" s="1" t="s">
        <v>87</v>
      </c>
      <c r="C34" s="7">
        <v>100000</v>
      </c>
    </row>
    <row r="35" spans="2:3" x14ac:dyDescent="0.2">
      <c r="B35" s="1" t="s">
        <v>100</v>
      </c>
      <c r="C35" s="7">
        <v>150000</v>
      </c>
    </row>
    <row r="36" spans="2:3" x14ac:dyDescent="0.2">
      <c r="B36" s="1" t="s">
        <v>101</v>
      </c>
      <c r="C36" s="7">
        <v>80000</v>
      </c>
    </row>
    <row r="37" spans="2:3" x14ac:dyDescent="0.2">
      <c r="B37" s="1" t="s">
        <v>102</v>
      </c>
      <c r="C37" s="7">
        <v>60000</v>
      </c>
    </row>
    <row r="38" spans="2:3" x14ac:dyDescent="0.2">
      <c r="B38" s="1" t="s">
        <v>103</v>
      </c>
      <c r="C38" s="7">
        <v>60000</v>
      </c>
    </row>
  </sheetData>
  <conditionalFormatting sqref="A4">
    <cfRule type="cellIs" dxfId="1" priority="1" operator="equal">
      <formula>FALSE</formula>
    </cfRule>
    <cfRule type="cellIs" dxfId="0" priority="2" operator="equal">
      <formula>TRUE</formula>
    </cfRule>
  </conditionalFormatting>
  <hyperlinks>
    <hyperlink ref="A3" location="Start" display="ToC" xr:uid="{00000000-0004-0000-0700-000000000000}"/>
  </hyperlinks>
  <pageMargins left="0.7" right="0.7" top="0.75" bottom="0.75" header="0.3" footer="0.3"/>
  <customProperties>
    <customPr name="layoutContexts" r:id="rId1"/>
    <customPr name="SaveUndoMode" r:id="rId2"/>
    <customPr name="screen" r:id="rId3"/>
  </customProperties>
  <tableParts count="4">
    <tablePart r:id="rId4"/>
    <tablePart r:id="rId5"/>
    <tablePart r:id="rId6"/>
    <tablePart r:id="rId7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>
    <tabColor rgb="FF92D050"/>
  </sheetPr>
  <dimension ref="A1:BL17"/>
  <sheetViews>
    <sheetView showGridLines="0" workbookViewId="0"/>
  </sheetViews>
  <sheetFormatPr defaultRowHeight="12.75" x14ac:dyDescent="0.2"/>
  <cols>
    <col min="3" max="3" width="16.140625" customWidth="1"/>
  </cols>
  <sheetData>
    <row r="1" spans="1:64" s="1" customFormat="1" ht="44.25" customHeight="1" thickBot="1" x14ac:dyDescent="0.35">
      <c r="A1" s="70"/>
      <c r="B1" s="70" t="str">
        <f ca="1">AssmModelHeader</f>
        <v>Growth Startup (High)</v>
      </c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  <c r="X1" s="70"/>
      <c r="Y1" s="70"/>
      <c r="Z1" s="70"/>
      <c r="AA1" s="70"/>
      <c r="AB1" s="70"/>
      <c r="AC1" s="70"/>
      <c r="AD1" s="70"/>
      <c r="AE1" s="70"/>
      <c r="AF1" s="70"/>
      <c r="AG1" s="70"/>
      <c r="AH1" s="70"/>
      <c r="AI1" s="70"/>
      <c r="AJ1" s="70"/>
      <c r="AK1" s="70"/>
      <c r="AL1" s="70"/>
      <c r="AM1" s="70"/>
      <c r="AN1" s="70"/>
      <c r="AO1" s="70"/>
      <c r="AP1" s="70"/>
      <c r="AQ1" s="70"/>
      <c r="AR1" s="70"/>
      <c r="AS1" s="70"/>
      <c r="AT1" s="70"/>
      <c r="AU1" s="70"/>
      <c r="AV1" s="70"/>
      <c r="AW1" s="70"/>
      <c r="AX1" s="70"/>
      <c r="AY1" s="70"/>
      <c r="AZ1" s="70"/>
      <c r="BA1" s="70"/>
      <c r="BB1" s="70"/>
      <c r="BC1" s="70"/>
      <c r="BD1" s="70"/>
      <c r="BE1" s="70"/>
      <c r="BF1" s="70"/>
      <c r="BG1" s="70"/>
      <c r="BH1" s="70"/>
      <c r="BI1" s="70"/>
      <c r="BJ1" s="70"/>
      <c r="BK1" s="70"/>
      <c r="BL1" s="70"/>
    </row>
    <row r="2" spans="1:64" s="1" customFormat="1" ht="18.75" thickTop="1" thickBot="1" x14ac:dyDescent="0.35">
      <c r="A2" s="69"/>
      <c r="B2" s="69" t="s">
        <v>329</v>
      </c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69"/>
      <c r="W2" s="69"/>
      <c r="X2" s="69"/>
      <c r="Y2" s="69"/>
      <c r="Z2" s="69"/>
      <c r="AA2" s="69"/>
      <c r="AB2" s="69"/>
      <c r="AC2" s="69"/>
      <c r="AD2" s="69"/>
      <c r="AE2" s="69"/>
      <c r="AF2" s="69"/>
      <c r="AG2" s="69"/>
      <c r="AH2" s="69"/>
      <c r="AI2" s="69"/>
      <c r="AJ2" s="69"/>
      <c r="AK2" s="69"/>
      <c r="AL2" s="69"/>
      <c r="AM2" s="69"/>
      <c r="AN2" s="69"/>
      <c r="AO2" s="69"/>
      <c r="AP2" s="69"/>
      <c r="AQ2" s="69"/>
      <c r="AR2" s="69"/>
      <c r="AS2" s="69"/>
      <c r="AT2" s="69"/>
      <c r="AU2" s="69"/>
      <c r="AV2" s="69"/>
      <c r="AW2" s="69"/>
      <c r="AX2" s="69"/>
      <c r="AY2" s="69"/>
      <c r="AZ2" s="69"/>
      <c r="BA2" s="69"/>
      <c r="BB2" s="69"/>
      <c r="BC2" s="69"/>
      <c r="BD2" s="69"/>
      <c r="BE2" s="69"/>
      <c r="BF2" s="69"/>
      <c r="BG2" s="69"/>
      <c r="BH2" s="69"/>
      <c r="BI2" s="69"/>
      <c r="BJ2" s="69"/>
      <c r="BK2" s="69"/>
      <c r="BL2" s="69"/>
    </row>
    <row r="3" spans="1:64" s="1" customFormat="1" ht="13.5" thickTop="1" x14ac:dyDescent="0.2">
      <c r="A3" s="93" t="s">
        <v>12</v>
      </c>
    </row>
    <row r="6" spans="1:64" ht="15" x14ac:dyDescent="0.25">
      <c r="B6" s="106" t="s">
        <v>330</v>
      </c>
      <c r="C6" s="106"/>
      <c r="D6" s="106"/>
      <c r="E6" s="106"/>
    </row>
    <row r="8" spans="1:64" ht="15" x14ac:dyDescent="0.25">
      <c r="C8" s="18" t="s">
        <v>331</v>
      </c>
      <c r="D8" t="s">
        <v>332</v>
      </c>
    </row>
    <row r="9" spans="1:64" ht="15" x14ac:dyDescent="0.25">
      <c r="C9" s="26" t="s">
        <v>333</v>
      </c>
      <c r="D9" t="s">
        <v>333</v>
      </c>
    </row>
    <row r="10" spans="1:64" ht="15" x14ac:dyDescent="0.25">
      <c r="C10" s="108" t="s">
        <v>334</v>
      </c>
      <c r="D10" t="s">
        <v>335</v>
      </c>
    </row>
    <row r="11" spans="1:64" ht="15" x14ac:dyDescent="0.25">
      <c r="C11" s="107" t="s">
        <v>336</v>
      </c>
      <c r="D11" t="s">
        <v>337</v>
      </c>
    </row>
    <row r="12" spans="1:64" x14ac:dyDescent="0.2">
      <c r="C12" s="92" t="s">
        <v>15</v>
      </c>
      <c r="D12" t="s">
        <v>338</v>
      </c>
    </row>
    <row r="13" spans="1:64" x14ac:dyDescent="0.2">
      <c r="C13" s="93" t="s">
        <v>339</v>
      </c>
      <c r="D13" t="s">
        <v>339</v>
      </c>
    </row>
    <row r="15" spans="1:64" ht="20.25" thickBot="1" x14ac:dyDescent="0.35">
      <c r="C15" s="96" t="s">
        <v>340</v>
      </c>
      <c r="D15" t="s">
        <v>341</v>
      </c>
    </row>
    <row r="16" spans="1:64" ht="18.75" thickTop="1" thickBot="1" x14ac:dyDescent="0.35">
      <c r="C16" s="98" t="s">
        <v>342</v>
      </c>
      <c r="D16" t="s">
        <v>343</v>
      </c>
    </row>
    <row r="17" spans="3:4" ht="16.5" thickTop="1" thickBot="1" x14ac:dyDescent="0.3">
      <c r="C17" s="68" t="s">
        <v>344</v>
      </c>
      <c r="D17" t="s">
        <v>345</v>
      </c>
    </row>
  </sheetData>
  <hyperlinks>
    <hyperlink ref="A3" location="Start" display="ToC" xr:uid="{00000000-0004-0000-0800-000000000000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>
    <tabColor rgb="FF92D050"/>
  </sheetPr>
  <dimension ref="A1:BL3"/>
  <sheetViews>
    <sheetView showGridLines="0" workbookViewId="0">
      <selection sqref="A1:XFD3"/>
    </sheetView>
  </sheetViews>
  <sheetFormatPr defaultRowHeight="12.75" x14ac:dyDescent="0.2"/>
  <sheetData>
    <row r="1" spans="1:64" s="1" customFormat="1" ht="44.25" customHeight="1" thickBot="1" x14ac:dyDescent="0.35">
      <c r="A1" s="70"/>
      <c r="B1" s="70" t="str">
        <f ca="1">AssmModelHeader</f>
        <v>Growth Startup (High)</v>
      </c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  <c r="X1" s="70"/>
      <c r="Y1" s="70"/>
      <c r="Z1" s="70"/>
      <c r="AA1" s="70"/>
      <c r="AB1" s="70"/>
      <c r="AC1" s="70"/>
      <c r="AD1" s="70"/>
      <c r="AE1" s="70"/>
      <c r="AF1" s="70"/>
      <c r="AG1" s="70"/>
      <c r="AH1" s="70"/>
      <c r="AI1" s="70"/>
      <c r="AJ1" s="70"/>
      <c r="AK1" s="70"/>
      <c r="AL1" s="70"/>
      <c r="AM1" s="70"/>
      <c r="AN1" s="70"/>
      <c r="AO1" s="70"/>
      <c r="AP1" s="70"/>
      <c r="AQ1" s="70"/>
      <c r="AR1" s="70"/>
      <c r="AS1" s="70"/>
      <c r="AT1" s="70"/>
      <c r="AU1" s="70"/>
      <c r="AV1" s="70"/>
      <c r="AW1" s="70"/>
      <c r="AX1" s="70"/>
      <c r="AY1" s="70"/>
      <c r="AZ1" s="70"/>
      <c r="BA1" s="70"/>
      <c r="BB1" s="70"/>
      <c r="BC1" s="70"/>
      <c r="BD1" s="70"/>
      <c r="BE1" s="70"/>
      <c r="BF1" s="70"/>
      <c r="BG1" s="70"/>
      <c r="BH1" s="70"/>
      <c r="BI1" s="70"/>
      <c r="BJ1" s="70"/>
      <c r="BK1" s="70"/>
      <c r="BL1" s="70"/>
    </row>
    <row r="2" spans="1:64" s="1" customFormat="1" ht="18.75" thickTop="1" thickBot="1" x14ac:dyDescent="0.35">
      <c r="A2" s="69"/>
      <c r="B2" s="69" t="s">
        <v>346</v>
      </c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69"/>
      <c r="W2" s="69"/>
      <c r="X2" s="69"/>
      <c r="Y2" s="69"/>
      <c r="Z2" s="69"/>
      <c r="AA2" s="69"/>
      <c r="AB2" s="69"/>
      <c r="AC2" s="69"/>
      <c r="AD2" s="69"/>
      <c r="AE2" s="69"/>
      <c r="AF2" s="69"/>
      <c r="AG2" s="69"/>
      <c r="AH2" s="69"/>
      <c r="AI2" s="69"/>
      <c r="AJ2" s="69"/>
      <c r="AK2" s="69"/>
      <c r="AL2" s="69"/>
      <c r="AM2" s="69"/>
      <c r="AN2" s="69"/>
      <c r="AO2" s="69"/>
      <c r="AP2" s="69"/>
      <c r="AQ2" s="69"/>
      <c r="AR2" s="69"/>
      <c r="AS2" s="69"/>
      <c r="AT2" s="69"/>
      <c r="AU2" s="69"/>
      <c r="AV2" s="69"/>
      <c r="AW2" s="69"/>
      <c r="AX2" s="69"/>
      <c r="AY2" s="69"/>
      <c r="AZ2" s="69"/>
      <c r="BA2" s="69"/>
      <c r="BB2" s="69"/>
      <c r="BC2" s="69"/>
      <c r="BD2" s="69"/>
      <c r="BE2" s="69"/>
      <c r="BF2" s="69"/>
      <c r="BG2" s="69"/>
      <c r="BH2" s="69"/>
      <c r="BI2" s="69"/>
      <c r="BJ2" s="69"/>
      <c r="BK2" s="69"/>
      <c r="BL2" s="69"/>
    </row>
    <row r="3" spans="1:64" s="1" customFormat="1" ht="13.5" thickTop="1" x14ac:dyDescent="0.2">
      <c r="A3" s="93" t="s">
        <v>12</v>
      </c>
    </row>
  </sheetData>
  <hyperlinks>
    <hyperlink ref="A3" location="Start" display="ToC" xr:uid="{00000000-0004-0000-0900-000000000000}"/>
  </hyperlink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>
    <tabColor rgb="FF92D050"/>
  </sheetPr>
  <dimension ref="A1:BL12"/>
  <sheetViews>
    <sheetView showGridLines="0" workbookViewId="0">
      <selection activeCell="B2" sqref="B2"/>
    </sheetView>
  </sheetViews>
  <sheetFormatPr defaultRowHeight="12.75" x14ac:dyDescent="0.2"/>
  <cols>
    <col min="3" max="3" width="18.7109375" customWidth="1"/>
  </cols>
  <sheetData>
    <row r="1" spans="1:64" s="1" customFormat="1" ht="44.25" customHeight="1" thickBot="1" x14ac:dyDescent="0.35">
      <c r="A1" s="70"/>
      <c r="B1" s="70" t="str">
        <f ca="1">AssmModelHeader</f>
        <v>Growth Startup (High)</v>
      </c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  <c r="X1" s="70"/>
      <c r="Y1" s="70"/>
      <c r="Z1" s="70"/>
      <c r="AA1" s="70"/>
      <c r="AB1" s="70"/>
      <c r="AC1" s="70"/>
      <c r="AD1" s="70"/>
      <c r="AE1" s="70"/>
      <c r="AF1" s="70"/>
      <c r="AG1" s="70"/>
      <c r="AH1" s="70"/>
      <c r="AI1" s="70"/>
      <c r="AJ1" s="70"/>
      <c r="AK1" s="70"/>
      <c r="AL1" s="70"/>
      <c r="AM1" s="70"/>
      <c r="AN1" s="70"/>
      <c r="AO1" s="70"/>
      <c r="AP1" s="70"/>
      <c r="AQ1" s="70"/>
      <c r="AR1" s="70"/>
      <c r="AS1" s="70"/>
      <c r="AT1" s="70"/>
      <c r="AU1" s="70"/>
      <c r="AV1" s="70"/>
      <c r="AW1" s="70"/>
      <c r="AX1" s="70"/>
      <c r="AY1" s="70"/>
      <c r="AZ1" s="70"/>
      <c r="BA1" s="70"/>
      <c r="BB1" s="70"/>
      <c r="BC1" s="70"/>
      <c r="BD1" s="70"/>
      <c r="BE1" s="70"/>
      <c r="BF1" s="70"/>
      <c r="BG1" s="70"/>
      <c r="BH1" s="70"/>
      <c r="BI1" s="70"/>
      <c r="BJ1" s="70"/>
      <c r="BK1" s="70"/>
      <c r="BL1" s="70"/>
    </row>
    <row r="2" spans="1:64" s="1" customFormat="1" ht="18.75" thickTop="1" thickBot="1" x14ac:dyDescent="0.35">
      <c r="A2" s="69"/>
      <c r="B2" s="69" t="s">
        <v>9</v>
      </c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69"/>
      <c r="W2" s="69"/>
      <c r="X2" s="69"/>
      <c r="Y2" s="69"/>
      <c r="Z2" s="69"/>
      <c r="AA2" s="69"/>
      <c r="AB2" s="69"/>
      <c r="AC2" s="69"/>
      <c r="AD2" s="69"/>
      <c r="AE2" s="69"/>
      <c r="AF2" s="69"/>
      <c r="AG2" s="69"/>
      <c r="AH2" s="69"/>
      <c r="AI2" s="69"/>
      <c r="AJ2" s="69"/>
      <c r="AK2" s="69"/>
      <c r="AL2" s="69"/>
      <c r="AM2" s="69"/>
      <c r="AN2" s="69"/>
      <c r="AO2" s="69"/>
      <c r="AP2" s="69"/>
      <c r="AQ2" s="69"/>
      <c r="AR2" s="69"/>
      <c r="AS2" s="69"/>
      <c r="AT2" s="69"/>
      <c r="AU2" s="69"/>
      <c r="AV2" s="69"/>
      <c r="AW2" s="69"/>
      <c r="AX2" s="69"/>
      <c r="AY2" s="69"/>
      <c r="AZ2" s="69"/>
      <c r="BA2" s="69"/>
      <c r="BB2" s="69"/>
      <c r="BC2" s="69"/>
      <c r="BD2" s="69"/>
      <c r="BE2" s="69"/>
      <c r="BF2" s="69"/>
      <c r="BG2" s="69"/>
      <c r="BH2" s="69"/>
      <c r="BI2" s="69"/>
      <c r="BJ2" s="69"/>
      <c r="BK2" s="69"/>
      <c r="BL2" s="69"/>
    </row>
    <row r="3" spans="1:64" s="1" customFormat="1" ht="13.5" thickTop="1" x14ac:dyDescent="0.2">
      <c r="A3" s="93" t="s">
        <v>12</v>
      </c>
    </row>
    <row r="5" spans="1:64" ht="15.75" thickBot="1" x14ac:dyDescent="0.3">
      <c r="B5" s="68" t="s">
        <v>347</v>
      </c>
      <c r="C5" s="68"/>
      <c r="D5" s="68"/>
      <c r="E5" s="68"/>
      <c r="F5" s="68"/>
    </row>
    <row r="6" spans="1:64" ht="15" x14ac:dyDescent="0.25">
      <c r="B6" t="s">
        <v>348</v>
      </c>
      <c r="C6" s="18" t="s">
        <v>349</v>
      </c>
    </row>
    <row r="7" spans="1:64" ht="15" x14ac:dyDescent="0.25">
      <c r="B7" t="s">
        <v>350</v>
      </c>
      <c r="C7" s="18" t="s">
        <v>351</v>
      </c>
    </row>
    <row r="8" spans="1:64" ht="15" x14ac:dyDescent="0.25">
      <c r="B8" t="s">
        <v>352</v>
      </c>
      <c r="C8" s="111">
        <v>42846</v>
      </c>
    </row>
    <row r="9" spans="1:64" ht="15" x14ac:dyDescent="0.25">
      <c r="B9" t="s">
        <v>353</v>
      </c>
      <c r="C9" s="113">
        <v>1</v>
      </c>
    </row>
    <row r="10" spans="1:64" ht="15" x14ac:dyDescent="0.25">
      <c r="B10" t="s">
        <v>354</v>
      </c>
      <c r="C10" s="18" t="s">
        <v>355</v>
      </c>
    </row>
    <row r="12" spans="1:64" ht="15.75" thickBot="1" x14ac:dyDescent="0.3">
      <c r="B12" s="68" t="s">
        <v>356</v>
      </c>
      <c r="C12" s="68"/>
      <c r="D12" s="68"/>
      <c r="E12" s="68"/>
      <c r="F12" s="68"/>
    </row>
  </sheetData>
  <hyperlinks>
    <hyperlink ref="A3" location="Start" display="ToC" xr:uid="{00000000-0004-0000-0A00-000000000000}"/>
  </hyperlink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2">
    <tabColor rgb="FF92D050"/>
  </sheetPr>
  <dimension ref="A1:BL13"/>
  <sheetViews>
    <sheetView showGridLines="0" workbookViewId="0"/>
  </sheetViews>
  <sheetFormatPr defaultRowHeight="12.75" x14ac:dyDescent="0.2"/>
  <cols>
    <col min="2" max="2" width="10.28515625" bestFit="1" customWidth="1"/>
    <col min="3" max="3" width="40.28515625" customWidth="1"/>
    <col min="4" max="6" width="13.28515625" customWidth="1"/>
  </cols>
  <sheetData>
    <row r="1" spans="1:64" s="1" customFormat="1" ht="44.25" customHeight="1" thickBot="1" x14ac:dyDescent="0.35">
      <c r="A1" s="70"/>
      <c r="B1" s="70" t="str">
        <f ca="1">AssmModelHeader</f>
        <v>Growth Startup (High)</v>
      </c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  <c r="X1" s="70"/>
      <c r="Y1" s="70"/>
      <c r="Z1" s="70"/>
      <c r="AA1" s="70"/>
      <c r="AB1" s="70"/>
      <c r="AC1" s="70"/>
      <c r="AD1" s="70"/>
      <c r="AE1" s="70"/>
      <c r="AF1" s="70"/>
      <c r="AG1" s="70"/>
      <c r="AH1" s="70"/>
      <c r="AI1" s="70"/>
      <c r="AJ1" s="70"/>
      <c r="AK1" s="70"/>
      <c r="AL1" s="70"/>
      <c r="AM1" s="70"/>
      <c r="AN1" s="70"/>
      <c r="AO1" s="70"/>
      <c r="AP1" s="70"/>
      <c r="AQ1" s="70"/>
      <c r="AR1" s="70"/>
      <c r="AS1" s="70"/>
      <c r="AT1" s="70"/>
      <c r="AU1" s="70"/>
      <c r="AV1" s="70"/>
      <c r="AW1" s="70"/>
      <c r="AX1" s="70"/>
      <c r="AY1" s="70"/>
      <c r="AZ1" s="70"/>
      <c r="BA1" s="70"/>
      <c r="BB1" s="70"/>
      <c r="BC1" s="70"/>
      <c r="BD1" s="70"/>
      <c r="BE1" s="70"/>
      <c r="BF1" s="70"/>
      <c r="BG1" s="70"/>
      <c r="BH1" s="70"/>
      <c r="BI1" s="70"/>
      <c r="BJ1" s="70"/>
      <c r="BK1" s="70"/>
      <c r="BL1" s="70"/>
    </row>
    <row r="2" spans="1:64" s="1" customFormat="1" ht="18.75" thickTop="1" thickBot="1" x14ac:dyDescent="0.35">
      <c r="A2" s="69"/>
      <c r="B2" s="69" t="s">
        <v>357</v>
      </c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69"/>
      <c r="W2" s="69"/>
      <c r="X2" s="69"/>
      <c r="Y2" s="69"/>
      <c r="Z2" s="69"/>
      <c r="AA2" s="69"/>
      <c r="AB2" s="69"/>
      <c r="AC2" s="69"/>
      <c r="AD2" s="69"/>
      <c r="AE2" s="69"/>
      <c r="AF2" s="69"/>
      <c r="AG2" s="69"/>
      <c r="AH2" s="69"/>
      <c r="AI2" s="69"/>
      <c r="AJ2" s="69"/>
      <c r="AK2" s="69"/>
      <c r="AL2" s="69"/>
      <c r="AM2" s="69"/>
      <c r="AN2" s="69"/>
      <c r="AO2" s="69"/>
      <c r="AP2" s="69"/>
      <c r="AQ2" s="69"/>
      <c r="AR2" s="69"/>
      <c r="AS2" s="69"/>
      <c r="AT2" s="69"/>
      <c r="AU2" s="69"/>
      <c r="AV2" s="69"/>
      <c r="AW2" s="69"/>
      <c r="AX2" s="69"/>
      <c r="AY2" s="69"/>
      <c r="AZ2" s="69"/>
      <c r="BA2" s="69"/>
      <c r="BB2" s="69"/>
      <c r="BC2" s="69"/>
      <c r="BD2" s="69"/>
      <c r="BE2" s="69"/>
      <c r="BF2" s="69"/>
      <c r="BG2" s="69"/>
      <c r="BH2" s="69"/>
      <c r="BI2" s="69"/>
      <c r="BJ2" s="69"/>
      <c r="BK2" s="69"/>
      <c r="BL2" s="69"/>
    </row>
    <row r="3" spans="1:64" s="1" customFormat="1" ht="13.5" thickTop="1" x14ac:dyDescent="0.2">
      <c r="A3" s="93" t="s">
        <v>12</v>
      </c>
    </row>
    <row r="5" spans="1:64" ht="15.75" thickBot="1" x14ac:dyDescent="0.3">
      <c r="B5" s="68" t="s">
        <v>240</v>
      </c>
      <c r="C5" s="68" t="s">
        <v>300</v>
      </c>
      <c r="D5" s="68" t="s">
        <v>358</v>
      </c>
      <c r="E5" s="68" t="s">
        <v>359</v>
      </c>
      <c r="F5" s="68" t="s">
        <v>360</v>
      </c>
    </row>
    <row r="6" spans="1:64" ht="15" x14ac:dyDescent="0.25">
      <c r="B6" s="110">
        <f ca="1">TODAY()</f>
        <v>46269</v>
      </c>
      <c r="C6" s="18" t="s">
        <v>361</v>
      </c>
      <c r="D6" s="18" t="s">
        <v>362</v>
      </c>
      <c r="E6" s="18"/>
      <c r="F6" s="18"/>
    </row>
    <row r="7" spans="1:64" ht="15" x14ac:dyDescent="0.25">
      <c r="B7" s="18"/>
      <c r="C7" s="18"/>
      <c r="D7" s="18"/>
      <c r="E7" s="18"/>
      <c r="F7" s="18"/>
    </row>
    <row r="8" spans="1:64" ht="15" x14ac:dyDescent="0.25">
      <c r="B8" s="18"/>
      <c r="C8" s="18"/>
      <c r="D8" s="18"/>
      <c r="E8" s="18"/>
      <c r="F8" s="18"/>
    </row>
    <row r="9" spans="1:64" ht="15" x14ac:dyDescent="0.25">
      <c r="B9" s="18"/>
      <c r="C9" s="18"/>
      <c r="D9" s="18"/>
      <c r="E9" s="18"/>
      <c r="F9" s="18"/>
    </row>
    <row r="10" spans="1:64" ht="15" x14ac:dyDescent="0.25">
      <c r="B10" s="18"/>
      <c r="C10" s="18"/>
      <c r="D10" s="18"/>
      <c r="E10" s="18"/>
      <c r="F10" s="18"/>
    </row>
    <row r="11" spans="1:64" ht="15" x14ac:dyDescent="0.25">
      <c r="B11" s="18"/>
      <c r="C11" s="18"/>
      <c r="D11" s="18"/>
      <c r="E11" s="18"/>
      <c r="F11" s="18"/>
    </row>
    <row r="12" spans="1:64" ht="15" x14ac:dyDescent="0.25">
      <c r="B12" s="18"/>
      <c r="C12" s="18"/>
      <c r="D12" s="18"/>
      <c r="E12" s="18"/>
      <c r="F12" s="18"/>
    </row>
    <row r="13" spans="1:64" ht="15" x14ac:dyDescent="0.25">
      <c r="B13" s="18"/>
      <c r="C13" s="18"/>
      <c r="D13" s="18"/>
      <c r="E13" s="18"/>
      <c r="F13" s="18"/>
    </row>
  </sheetData>
  <hyperlinks>
    <hyperlink ref="A3" location="Start" display="ToC" xr:uid="{00000000-0004-0000-0B00-000000000000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3">
    <tabColor rgb="FF92D050"/>
  </sheetPr>
  <dimension ref="A1:BK13"/>
  <sheetViews>
    <sheetView showGridLines="0" workbookViewId="0">
      <selection sqref="A1:XFD3"/>
    </sheetView>
  </sheetViews>
  <sheetFormatPr defaultRowHeight="12.75" x14ac:dyDescent="0.2"/>
  <cols>
    <col min="2" max="2" width="13.28515625" customWidth="1"/>
    <col min="3" max="3" width="40.28515625" customWidth="1"/>
    <col min="4" max="6" width="14.5703125" customWidth="1"/>
  </cols>
  <sheetData>
    <row r="1" spans="1:63" s="1" customFormat="1" ht="44.25" customHeight="1" thickBot="1" x14ac:dyDescent="0.35">
      <c r="A1" s="70"/>
      <c r="B1" s="70" t="str">
        <f ca="1">AssmModelHeader</f>
        <v>Growth Startup (High)</v>
      </c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  <c r="X1" s="70"/>
      <c r="Y1" s="70"/>
      <c r="Z1" s="70"/>
      <c r="AA1" s="70"/>
      <c r="AB1" s="70"/>
      <c r="AC1" s="70"/>
      <c r="AD1" s="70"/>
      <c r="AE1" s="70"/>
      <c r="AF1" s="70"/>
      <c r="AG1" s="70"/>
      <c r="AH1" s="70"/>
      <c r="AI1" s="70"/>
      <c r="AJ1" s="70"/>
      <c r="AK1" s="70"/>
      <c r="AL1" s="70"/>
      <c r="AM1" s="70"/>
      <c r="AN1" s="70"/>
      <c r="AO1" s="70"/>
      <c r="AP1" s="70"/>
      <c r="AQ1" s="70"/>
      <c r="AR1" s="70"/>
      <c r="AS1" s="70"/>
      <c r="AT1" s="70"/>
      <c r="AU1" s="70"/>
      <c r="AV1" s="70"/>
      <c r="AW1" s="70"/>
      <c r="AX1" s="70"/>
      <c r="AY1" s="70"/>
      <c r="AZ1" s="70"/>
      <c r="BA1" s="70"/>
      <c r="BB1" s="70"/>
      <c r="BC1" s="70"/>
      <c r="BD1" s="70"/>
      <c r="BE1" s="70"/>
      <c r="BF1" s="70"/>
      <c r="BG1" s="70"/>
      <c r="BH1" s="70"/>
      <c r="BI1" s="70"/>
      <c r="BJ1" s="70"/>
      <c r="BK1" s="70"/>
    </row>
    <row r="2" spans="1:63" s="1" customFormat="1" ht="18.75" thickTop="1" thickBot="1" x14ac:dyDescent="0.35">
      <c r="A2" s="69"/>
      <c r="B2" s="69" t="s">
        <v>11</v>
      </c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69"/>
      <c r="W2" s="69"/>
      <c r="X2" s="69"/>
      <c r="Y2" s="69"/>
      <c r="Z2" s="69"/>
      <c r="AA2" s="69"/>
      <c r="AB2" s="69"/>
      <c r="AC2" s="69"/>
      <c r="AD2" s="69"/>
      <c r="AE2" s="69"/>
      <c r="AF2" s="69"/>
      <c r="AG2" s="69"/>
      <c r="AH2" s="69"/>
      <c r="AI2" s="69"/>
      <c r="AJ2" s="69"/>
      <c r="AK2" s="69"/>
      <c r="AL2" s="69"/>
      <c r="AM2" s="69"/>
      <c r="AN2" s="69"/>
      <c r="AO2" s="69"/>
      <c r="AP2" s="69"/>
      <c r="AQ2" s="69"/>
      <c r="AR2" s="69"/>
      <c r="AS2" s="69"/>
      <c r="AT2" s="69"/>
      <c r="AU2" s="69"/>
      <c r="AV2" s="69"/>
      <c r="AW2" s="69"/>
      <c r="AX2" s="69"/>
      <c r="AY2" s="69"/>
      <c r="AZ2" s="69"/>
      <c r="BA2" s="69"/>
      <c r="BB2" s="69"/>
      <c r="BC2" s="69"/>
      <c r="BD2" s="69"/>
      <c r="BE2" s="69"/>
      <c r="BF2" s="69"/>
      <c r="BG2" s="69"/>
      <c r="BH2" s="69"/>
      <c r="BI2" s="69"/>
      <c r="BJ2" s="69"/>
      <c r="BK2" s="69"/>
    </row>
    <row r="3" spans="1:63" s="1" customFormat="1" ht="13.5" thickTop="1" x14ac:dyDescent="0.2">
      <c r="A3" s="93" t="s">
        <v>12</v>
      </c>
    </row>
    <row r="5" spans="1:63" ht="15.75" thickBot="1" x14ac:dyDescent="0.3">
      <c r="B5" s="68" t="s">
        <v>240</v>
      </c>
      <c r="C5" s="68" t="s">
        <v>300</v>
      </c>
      <c r="D5" s="68" t="s">
        <v>363</v>
      </c>
      <c r="E5" s="68" t="s">
        <v>364</v>
      </c>
      <c r="F5" s="68" t="s">
        <v>365</v>
      </c>
    </row>
    <row r="6" spans="1:63" ht="15" x14ac:dyDescent="0.25">
      <c r="B6" s="110">
        <f ca="1">TODAY()-30</f>
        <v>46239</v>
      </c>
      <c r="C6" s="18" t="s">
        <v>366</v>
      </c>
      <c r="D6" s="112">
        <v>1</v>
      </c>
      <c r="E6" s="18" t="s">
        <v>362</v>
      </c>
      <c r="F6" s="18" t="s">
        <v>367</v>
      </c>
    </row>
    <row r="7" spans="1:63" ht="15" x14ac:dyDescent="0.25">
      <c r="B7" s="110">
        <f ca="1">TODAY()-10</f>
        <v>46259</v>
      </c>
      <c r="C7" s="18" t="s">
        <v>368</v>
      </c>
      <c r="D7" s="112">
        <v>1.01</v>
      </c>
      <c r="E7" s="18" t="s">
        <v>362</v>
      </c>
      <c r="F7" s="18" t="s">
        <v>369</v>
      </c>
    </row>
    <row r="8" spans="1:63" ht="15" x14ac:dyDescent="0.25">
      <c r="B8" s="18"/>
      <c r="C8" s="18"/>
      <c r="D8" s="112"/>
      <c r="E8" s="18"/>
      <c r="F8" s="18"/>
    </row>
    <row r="9" spans="1:63" ht="15" x14ac:dyDescent="0.25">
      <c r="B9" s="18"/>
      <c r="C9" s="18"/>
      <c r="D9" s="112"/>
      <c r="E9" s="18"/>
      <c r="F9" s="18"/>
    </row>
    <row r="10" spans="1:63" ht="15" x14ac:dyDescent="0.25">
      <c r="B10" s="18"/>
      <c r="C10" s="18"/>
      <c r="D10" s="112"/>
      <c r="E10" s="18"/>
      <c r="F10" s="18"/>
    </row>
    <row r="11" spans="1:63" ht="15" x14ac:dyDescent="0.25">
      <c r="B11" s="18"/>
      <c r="C11" s="18"/>
      <c r="D11" s="112"/>
      <c r="E11" s="18"/>
      <c r="F11" s="18"/>
    </row>
    <row r="12" spans="1:63" ht="15" x14ac:dyDescent="0.25">
      <c r="B12" s="18"/>
      <c r="C12" s="18"/>
      <c r="D12" s="112"/>
      <c r="E12" s="18"/>
      <c r="F12" s="18"/>
    </row>
    <row r="13" spans="1:63" ht="15" x14ac:dyDescent="0.25">
      <c r="B13" s="18"/>
      <c r="C13" s="18"/>
      <c r="D13" s="112"/>
      <c r="E13" s="18"/>
      <c r="F13" s="18"/>
    </row>
  </sheetData>
  <hyperlinks>
    <hyperlink ref="A3" location="Start" display="ToC" xr:uid="{00000000-0004-0000-0C00-000000000000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D2F4FF-B2E2-459B-BFCC-E9B1BAA4DAE1}">
  <sheetPr>
    <tabColor theme="1" tint="0.499984740745262"/>
  </sheetPr>
  <dimension ref="A1:BM14"/>
  <sheetViews>
    <sheetView showGridLines="0" tabSelected="1" zoomScale="130" zoomScaleNormal="130" workbookViewId="0">
      <selection activeCell="B6" sqref="B6"/>
    </sheetView>
  </sheetViews>
  <sheetFormatPr defaultRowHeight="12.75" x14ac:dyDescent="0.2"/>
  <cols>
    <col min="1" max="1" width="9.140625" style="1"/>
    <col min="2" max="2" width="20.85546875" style="1" customWidth="1"/>
    <col min="3" max="3" width="20.85546875" style="8" customWidth="1"/>
    <col min="4" max="4" width="11.28515625" style="1" customWidth="1"/>
    <col min="5" max="6" width="9.140625" style="1"/>
    <col min="7" max="7" width="13.42578125" style="1" bestFit="1" customWidth="1"/>
    <col min="8" max="8" width="24.140625" style="1" bestFit="1" customWidth="1"/>
    <col min="9" max="9" width="33.7109375" style="1" customWidth="1"/>
    <col min="10" max="10" width="27.5703125" style="1" bestFit="1" customWidth="1"/>
    <col min="11" max="16384" width="9.140625" style="1"/>
  </cols>
  <sheetData>
    <row r="1" spans="1:65" ht="44.25" customHeight="1" thickBot="1" x14ac:dyDescent="0.35">
      <c r="A1" s="70"/>
      <c r="B1" s="70" t="str">
        <f ca="1">AssmModelHeader</f>
        <v>Growth Startup (High)</v>
      </c>
      <c r="C1" s="119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  <c r="X1" s="70"/>
      <c r="Y1" s="70"/>
      <c r="Z1" s="70"/>
      <c r="AA1" s="70"/>
      <c r="AB1" s="70"/>
      <c r="AC1" s="70"/>
      <c r="AD1" s="70"/>
      <c r="AE1" s="70"/>
      <c r="AF1" s="70"/>
      <c r="AG1" s="70"/>
      <c r="AH1" s="70"/>
      <c r="AI1" s="70"/>
      <c r="AJ1" s="70"/>
      <c r="AK1" s="70"/>
      <c r="AL1" s="70"/>
      <c r="AM1" s="70"/>
      <c r="AN1" s="70"/>
      <c r="AO1" s="70"/>
      <c r="AP1" s="70"/>
      <c r="AQ1" s="70"/>
      <c r="AR1" s="70"/>
      <c r="AS1" s="70"/>
      <c r="AT1" s="70"/>
      <c r="AU1" s="70"/>
      <c r="AV1" s="70"/>
      <c r="AW1" s="70"/>
      <c r="AX1" s="70"/>
      <c r="AY1" s="70"/>
      <c r="AZ1" s="70"/>
      <c r="BA1" s="70"/>
      <c r="BB1" s="70"/>
      <c r="BC1" s="70"/>
      <c r="BD1" s="70"/>
      <c r="BE1" s="70"/>
      <c r="BF1" s="70"/>
      <c r="BG1" s="70"/>
      <c r="BH1" s="70"/>
      <c r="BI1" s="70"/>
      <c r="BJ1" s="70"/>
      <c r="BK1" s="70"/>
      <c r="BL1" s="70"/>
      <c r="BM1" s="70"/>
    </row>
    <row r="2" spans="1:65" ht="18.75" thickTop="1" thickBot="1" x14ac:dyDescent="0.35">
      <c r="A2" s="69"/>
      <c r="B2" s="69" t="s">
        <v>370</v>
      </c>
      <c r="C2" s="120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69"/>
      <c r="W2" s="69"/>
      <c r="X2" s="69"/>
      <c r="Y2" s="69"/>
      <c r="Z2" s="69"/>
      <c r="AA2" s="69"/>
      <c r="AB2" s="69"/>
      <c r="AC2" s="69"/>
      <c r="AD2" s="69"/>
      <c r="AE2" s="69"/>
      <c r="AF2" s="69"/>
      <c r="AG2" s="69"/>
      <c r="AH2" s="69"/>
      <c r="AI2" s="69"/>
      <c r="AJ2" s="69"/>
      <c r="AK2" s="69"/>
      <c r="AL2" s="69"/>
      <c r="AM2" s="69"/>
      <c r="AN2" s="69"/>
      <c r="AO2" s="69"/>
      <c r="AP2" s="69"/>
      <c r="AQ2" s="69"/>
      <c r="AR2" s="69"/>
      <c r="AS2" s="69"/>
      <c r="AT2" s="69"/>
      <c r="AU2" s="69"/>
      <c r="AV2" s="69"/>
      <c r="AW2" s="69"/>
      <c r="AX2" s="69"/>
      <c r="AY2" s="69"/>
      <c r="AZ2" s="69"/>
      <c r="BA2" s="69"/>
      <c r="BB2" s="69"/>
      <c r="BC2" s="69"/>
      <c r="BD2" s="69"/>
      <c r="BE2" s="69"/>
      <c r="BF2" s="69"/>
      <c r="BG2" s="69"/>
      <c r="BH2" s="69"/>
      <c r="BI2" s="69"/>
      <c r="BJ2" s="69"/>
      <c r="BK2" s="69"/>
      <c r="BL2" s="69"/>
      <c r="BM2" s="69"/>
    </row>
    <row r="3" spans="1:65" ht="13.5" thickTop="1" x14ac:dyDescent="0.2">
      <c r="A3" s="116" t="s">
        <v>12</v>
      </c>
    </row>
    <row r="4" spans="1:65" x14ac:dyDescent="0.2">
      <c r="B4" s="15" t="s">
        <v>371</v>
      </c>
      <c r="C4" s="75"/>
    </row>
    <row r="5" spans="1:65" x14ac:dyDescent="0.2">
      <c r="B5" s="4" t="s">
        <v>15</v>
      </c>
      <c r="C5" s="121" t="s">
        <v>372</v>
      </c>
      <c r="D5" s="4" t="s">
        <v>373</v>
      </c>
      <c r="E5" s="4" t="s">
        <v>374</v>
      </c>
      <c r="F5" s="4" t="s">
        <v>375</v>
      </c>
      <c r="G5" s="4" t="s">
        <v>376</v>
      </c>
      <c r="H5" s="4" t="s">
        <v>377</v>
      </c>
      <c r="I5" s="4" t="s">
        <v>300</v>
      </c>
      <c r="J5" s="4" t="s">
        <v>378</v>
      </c>
    </row>
    <row r="6" spans="1:65" ht="15" x14ac:dyDescent="0.25">
      <c r="B6" s="1" t="s">
        <v>246</v>
      </c>
      <c r="C6" s="122" t="str" cm="1">
        <f t="array" aca="1" ref="C6" ca="1">INDIRECT(APIConfigTable[[#This Row],[RangeName]])</f>
        <v>High</v>
      </c>
      <c r="D6" s="1" t="s">
        <v>379</v>
      </c>
      <c r="E6" s="1" t="s">
        <v>237</v>
      </c>
      <c r="H6" s="1" t="s">
        <v>319</v>
      </c>
      <c r="I6" s="1" t="s">
        <v>380</v>
      </c>
      <c r="J6" s="1" t="s">
        <v>245</v>
      </c>
    </row>
    <row r="7" spans="1:65" ht="15" x14ac:dyDescent="0.25">
      <c r="B7" s="1" t="s">
        <v>250</v>
      </c>
      <c r="C7" s="122" t="str" cm="1">
        <f t="array" aca="1" ref="C7" ca="1">INDIRECT(APIConfigTable[[#This Row],[RangeName]])</f>
        <v>Fast</v>
      </c>
      <c r="D7" s="1" t="s">
        <v>379</v>
      </c>
      <c r="E7" s="1" t="s">
        <v>237</v>
      </c>
      <c r="H7" s="1" t="s">
        <v>327</v>
      </c>
      <c r="I7" s="1" t="s">
        <v>381</v>
      </c>
      <c r="J7" s="1" t="s">
        <v>382</v>
      </c>
    </row>
    <row r="8" spans="1:65" ht="15" x14ac:dyDescent="0.25">
      <c r="B8" s="1" t="s">
        <v>278</v>
      </c>
      <c r="C8" s="122" cm="1">
        <f t="array" aca="1" ref="C8" ca="1">INDIRECT(APIConfigTable[[#This Row],[RangeName]])</f>
        <v>1000000</v>
      </c>
      <c r="D8" s="1" t="s">
        <v>379</v>
      </c>
      <c r="E8" s="1" t="s">
        <v>383</v>
      </c>
      <c r="F8" s="1">
        <v>0</v>
      </c>
      <c r="G8" s="117">
        <v>10000000</v>
      </c>
      <c r="I8" s="1" t="s">
        <v>384</v>
      </c>
      <c r="J8" s="1" t="s">
        <v>385</v>
      </c>
    </row>
    <row r="9" spans="1:65" ht="15" x14ac:dyDescent="0.25">
      <c r="B9" s="1" t="s">
        <v>284</v>
      </c>
      <c r="C9" s="122" cm="1">
        <f t="array" aca="1" ref="C9" ca="1">INDIRECT(APIConfigTable[[#This Row],[RangeName]])</f>
        <v>0.05</v>
      </c>
      <c r="D9" s="1" t="s">
        <v>379</v>
      </c>
      <c r="E9" s="1" t="s">
        <v>383</v>
      </c>
      <c r="F9" s="1">
        <v>0</v>
      </c>
      <c r="G9" s="118">
        <v>0.15</v>
      </c>
      <c r="I9" s="1" t="s">
        <v>386</v>
      </c>
      <c r="J9" s="1" t="s">
        <v>386</v>
      </c>
    </row>
    <row r="10" spans="1:65" ht="15" x14ac:dyDescent="0.25">
      <c r="B10" s="1" t="s">
        <v>291</v>
      </c>
      <c r="C10" s="122" cm="1">
        <f t="array" aca="1" ref="C10" ca="1">INDIRECT(APIConfigTable[[#This Row],[RangeName]])</f>
        <v>0.1</v>
      </c>
      <c r="D10" s="1" t="s">
        <v>379</v>
      </c>
      <c r="E10" s="1" t="s">
        <v>383</v>
      </c>
      <c r="F10" s="1">
        <v>0</v>
      </c>
      <c r="G10" s="118">
        <v>0.3</v>
      </c>
      <c r="I10" s="1" t="s">
        <v>44</v>
      </c>
      <c r="J10" s="1" t="s">
        <v>387</v>
      </c>
    </row>
    <row r="11" spans="1:65" ht="15" x14ac:dyDescent="0.25">
      <c r="B11" s="1" t="s">
        <v>388</v>
      </c>
      <c r="C11" s="123" cm="1">
        <f t="array" aca="1" ref="C11" ca="1">INDIRECT(APIConfigTable[[#This Row],[RangeName]])</f>
        <v>358612302.33449161</v>
      </c>
      <c r="D11" s="1" t="s">
        <v>389</v>
      </c>
      <c r="E11" s="1" t="s">
        <v>383</v>
      </c>
      <c r="I11" s="1" t="s">
        <v>45</v>
      </c>
      <c r="J11" s="1" t="s">
        <v>390</v>
      </c>
    </row>
    <row r="12" spans="1:65" ht="15" x14ac:dyDescent="0.25">
      <c r="B12" s="1" t="s">
        <v>391</v>
      </c>
      <c r="C12" s="123" cm="1">
        <f t="array" aca="1" ref="C12" ca="1">INDIRECT(APIConfigTable[[#This Row],[RangeName]])</f>
        <v>3.7125931978225712</v>
      </c>
      <c r="D12" s="1" t="s">
        <v>389</v>
      </c>
      <c r="E12" s="1" t="s">
        <v>383</v>
      </c>
      <c r="I12" s="1" t="s">
        <v>46</v>
      </c>
      <c r="J12" s="1" t="s">
        <v>392</v>
      </c>
    </row>
    <row r="13" spans="1:65" ht="15" x14ac:dyDescent="0.25">
      <c r="B13" s="1" t="s">
        <v>393</v>
      </c>
      <c r="C13" s="123" cm="1">
        <f t="array" aca="1" ref="C13" ca="1">INDIRECT(APIConfigTable[[#This Row],[RangeName]])</f>
        <v>248481278.8605454</v>
      </c>
      <c r="D13" s="1" t="s">
        <v>389</v>
      </c>
      <c r="E13" s="1" t="s">
        <v>383</v>
      </c>
      <c r="I13" s="1" t="s">
        <v>394</v>
      </c>
      <c r="J13" s="1" t="s">
        <v>394</v>
      </c>
    </row>
    <row r="14" spans="1:65" ht="15" x14ac:dyDescent="0.25">
      <c r="B14" s="1" t="s">
        <v>395</v>
      </c>
      <c r="C14" s="123" t="e" cm="1" vm="1">
        <f t="array" aca="1" ref="C14" ca="1">INDIRECT(APIConfigTable[[#This Row],[RangeName]])</f>
        <v>#VALUE!</v>
      </c>
      <c r="D14" s="1" t="s">
        <v>389</v>
      </c>
      <c r="E14" s="1" t="s">
        <v>383</v>
      </c>
      <c r="I14" s="1" t="s">
        <v>396</v>
      </c>
      <c r="J14" s="1" t="s">
        <v>397</v>
      </c>
    </row>
  </sheetData>
  <dataValidations count="1">
    <dataValidation type="list" allowBlank="1" showInputMessage="1" showErrorMessage="1" sqref="E6:E14" xr:uid="{A9DA064A-9D6D-4E5B-8041-CA228C62AF85}">
      <formula1>"Text,Number,Boolean,Table-Append,Table-Overwrite"</formula1>
    </dataValidation>
  </dataValidations>
  <hyperlinks>
    <hyperlink ref="A3" location="Start" display="ToC" xr:uid="{992C74AF-DE93-4265-BC07-311356FD2873}"/>
  </hyperlinks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fb0e61f-ae6a-4892-9ad3-cdfd2dfd798e">
      <Terms xmlns="http://schemas.microsoft.com/office/infopath/2007/PartnerControls"/>
    </lcf76f155ced4ddcb4097134ff3c332f>
    <TaxCatchAll xmlns="c86e4292-8942-4ca5-9045-a590f49f452e" xsi:nil="true"/>
    <SharedWithUsers xmlns="c86e4292-8942-4ca5-9045-a590f49f452e">
      <UserInfo>
        <DisplayName/>
        <AccountId xsi:nil="true"/>
        <AccountType/>
      </UserInfo>
    </SharedWithUsers>
    <Date xmlns="3fb0e61f-ae6a-4892-9ad3-cdfd2dfd798e">2026-09-04T07:25:22+00:00</Date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A8ACC77F5E260439E5454C062B5BDB8" ma:contentTypeVersion="20" ma:contentTypeDescription="Create a new document." ma:contentTypeScope="" ma:versionID="15d3d59ac3d34d8cad2b8a1449e0c581">
  <xsd:schema xmlns:xsd="http://www.w3.org/2001/XMLSchema" xmlns:xs="http://www.w3.org/2001/XMLSchema" xmlns:p="http://schemas.microsoft.com/office/2006/metadata/properties" xmlns:ns2="c86e4292-8942-4ca5-9045-a590f49f452e" xmlns:ns3="3fb0e61f-ae6a-4892-9ad3-cdfd2dfd798e" targetNamespace="http://schemas.microsoft.com/office/2006/metadata/properties" ma:root="true" ma:fieldsID="82506eb60994ef9b809040803ee4430d" ns2:_="" ns3:_="">
    <xsd:import namespace="c86e4292-8942-4ca5-9045-a590f49f452e"/>
    <xsd:import namespace="3fb0e61f-ae6a-4892-9ad3-cdfd2dfd798e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OCR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Date" minOccurs="0"/>
                <xsd:element ref="ns3:MediaServiceAutoKeyPoints" minOccurs="0"/>
                <xsd:element ref="ns3:MediaServiceKeyPoints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6e4292-8942-4ca5-9045-a590f49f452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d5d8a972-66dc-4dca-add6-050918d9348b}" ma:internalName="TaxCatchAll" ma:showField="CatchAllData" ma:web="c86e4292-8942-4ca5-9045-a590f49f452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b0e61f-ae6a-4892-9ad3-cdfd2dfd798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Date" ma:index="16" nillable="true" ma:displayName="Date" ma:default="[today]" ma:format="DateOnly" ma:internalName="Date">
      <xsd:simpleType>
        <xsd:restriction base="dms:DateTime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59b71f21-900e-409e-aa21-fb66427e087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��
</file>

<file path=customXml/itemProps1.xml><?xml version="1.0" encoding="utf-8"?>
<ds:datastoreItem xmlns:ds="http://schemas.openxmlformats.org/officeDocument/2006/customXml" ds:itemID="{31FCEC14-487F-427D-87CF-F6E5730E8DE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0E5328D-1148-4135-86D3-E7FEE0519B13}">
  <ds:schemaRefs>
    <ds:schemaRef ds:uri="http://schemas.microsoft.com/office/2006/metadata/properties"/>
    <ds:schemaRef ds:uri="http://schemas.microsoft.com/office/infopath/2007/PartnerControls"/>
    <ds:schemaRef ds:uri="d6c470ff-6b68-4bdf-bb65-634b882ee196"/>
    <ds:schemaRef ds:uri="c296f924-6ffe-4338-b7ad-1b3f2b755baf"/>
  </ds:schemaRefs>
</ds:datastoreItem>
</file>

<file path=customXml/itemProps3.xml><?xml version="1.0" encoding="utf-8"?>
<ds:datastoreItem xmlns:ds="http://schemas.openxmlformats.org/officeDocument/2006/customXml" ds:itemID="{171106F4-D083-4F40-BDFB-DDCEBD33D4DB}"/>
</file>

<file path=customXml/itemProps4.xml><?xml version="1.0" encoding="utf-8"?>
<ds:datastoreItem xmlns:ds="http://schemas.openxmlformats.org/officeDocument/2006/customXml" ds:itemID="{648F9DC9-8F9E-408B-A042-1F5ACF0EBC55}">
  <ds:schemaRefs>
    <ds:schemaRef ds:uri="http://schemas.microsoft.com/PowerBIAdd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41</vt:i4>
      </vt:variant>
    </vt:vector>
  </HeadingPairs>
  <TitlesOfParts>
    <vt:vector size="53" baseType="lpstr">
      <vt:lpstr>ToC</vt:lpstr>
      <vt:lpstr>Error Checks</vt:lpstr>
      <vt:lpstr>Summary</vt:lpstr>
      <vt:lpstr>Calculations</vt:lpstr>
      <vt:lpstr>Assumptions</vt:lpstr>
      <vt:lpstr>Tables</vt:lpstr>
      <vt:lpstr>Format Conventions</vt:lpstr>
      <vt:lpstr>Structure</vt:lpstr>
      <vt:lpstr>Guidance</vt:lpstr>
      <vt:lpstr>ToDo</vt:lpstr>
      <vt:lpstr>Change Log</vt:lpstr>
      <vt:lpstr>_APIConfig</vt:lpstr>
      <vt:lpstr>AssmAccounting</vt:lpstr>
      <vt:lpstr>AssmBankFees</vt:lpstr>
      <vt:lpstr>AssmBusinessCase</vt:lpstr>
      <vt:lpstr>AssmContingency</vt:lpstr>
      <vt:lpstr>AssmCoTaxRate</vt:lpstr>
      <vt:lpstr>AssmCrInterest</vt:lpstr>
      <vt:lpstr>AssmDrInterest</vt:lpstr>
      <vt:lpstr>AssmEquity</vt:lpstr>
      <vt:lpstr>AssmEquityDate</vt:lpstr>
      <vt:lpstr>AssmHosting</vt:lpstr>
      <vt:lpstr>AssmIT</vt:lpstr>
      <vt:lpstr>AssmLaptop</vt:lpstr>
      <vt:lpstr>AssmLaptopLife</vt:lpstr>
      <vt:lpstr>AssmLegal</vt:lpstr>
      <vt:lpstr>AssmLoanAmt</vt:lpstr>
      <vt:lpstr>AssmLoanSecurity</vt:lpstr>
      <vt:lpstr>AssmLoanStart</vt:lpstr>
      <vt:lpstr>AssmLoanTerm</vt:lpstr>
      <vt:lpstr>AssmModelHeader</vt:lpstr>
      <vt:lpstr>AssmModelName</vt:lpstr>
      <vt:lpstr>AssmOffice</vt:lpstr>
      <vt:lpstr>AssmStaffScenario</vt:lpstr>
      <vt:lpstr>AssmStartDate</vt:lpstr>
      <vt:lpstr>AssmTelecom</vt:lpstr>
      <vt:lpstr>AssmTVGrowthRate</vt:lpstr>
      <vt:lpstr>AssmWACC</vt:lpstr>
      <vt:lpstr>ErrChkCalcBalanceSheet</vt:lpstr>
      <vt:lpstr>ErrChkCummaryCashFlow</vt:lpstr>
      <vt:lpstr>ErrChkOverall</vt:lpstr>
      <vt:lpstr>ErrChkSummaryBalanceSheet</vt:lpstr>
      <vt:lpstr>ErrChkSummaryIncomeStmt</vt:lpstr>
      <vt:lpstr>refCaseNames</vt:lpstr>
      <vt:lpstr>refStaffPositions</vt:lpstr>
      <vt:lpstr>refStaffScenario</vt:lpstr>
      <vt:lpstr>rngDest</vt:lpstr>
      <vt:lpstr>rngSource</vt:lpstr>
      <vt:lpstr>Start</vt:lpstr>
      <vt:lpstr>V_CashFlow</vt:lpstr>
      <vt:lpstr>V_IRR</vt:lpstr>
      <vt:lpstr>V_NPATperYr</vt:lpstr>
      <vt:lpstr>V_NPV</vt:lpstr>
    </vt:vector>
  </TitlesOfParts>
  <Manager/>
  <Company>Access Analytic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Jeff Robson</dc:creator>
  <cp:keywords/>
  <dc:description/>
  <cp:lastModifiedBy>Jeff Robson</cp:lastModifiedBy>
  <cp:revision/>
  <dcterms:created xsi:type="dcterms:W3CDTF">2008-06-14T05:14:12Z</dcterms:created>
  <dcterms:modified xsi:type="dcterms:W3CDTF">2026-09-04T07:22:10Z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hecksum">
    <vt:filetime>2014-06-15T10:31:26Z</vt:filetime>
  </property>
  <property fmtid="{D5CDD505-2E9C-101B-9397-08002B2CF9AE}" pid="3" name="ContentTypeId">
    <vt:lpwstr>0x010100CA8ACC77F5E260439E5454C062B5BDB8</vt:lpwstr>
  </property>
  <property fmtid="{D5CDD505-2E9C-101B-9397-08002B2CF9AE}" pid="4" name="MediaServiceImageTags">
    <vt:lpwstr/>
  </property>
  <property fmtid="{D5CDD505-2E9C-101B-9397-08002B2CF9AE}" pid="5" name="xd_ProgID">
    <vt:lpwstr/>
  </property>
  <property fmtid="{D5CDD505-2E9C-101B-9397-08002B2CF9AE}" pid="6" name="ComplianceAssetId">
    <vt:lpwstr/>
  </property>
  <property fmtid="{D5CDD505-2E9C-101B-9397-08002B2CF9AE}" pid="7" name="TemplateUrl">
    <vt:lpwstr/>
  </property>
  <property fmtid="{D5CDD505-2E9C-101B-9397-08002B2CF9AE}" pid="8" name="_ExtendedDescription">
    <vt:lpwstr/>
  </property>
  <property fmtid="{D5CDD505-2E9C-101B-9397-08002B2CF9AE}" pid="9" name="TriggerFlowInfo">
    <vt:lpwstr/>
  </property>
  <property fmtid="{D5CDD505-2E9C-101B-9397-08002B2CF9AE}" pid="10" name="xd_Signature">
    <vt:bool>false</vt:bool>
  </property>
</Properties>
</file>